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Balancesheet" sheetId="1" r:id="rId1"/>
    <sheet name="Calculation part" sheetId="2" r:id="rId2"/>
    <sheet name="Sheet3" sheetId="3" r:id="rId3"/>
    <sheet name="CORRELATION" sheetId="4" r:id="rId4"/>
    <sheet name="Sheet1" sheetId="5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AR14" i="2"/>
  <c r="AQ14"/>
  <c r="AQ13"/>
  <c r="AP14"/>
  <c r="AP13"/>
  <c r="AP12"/>
  <c r="AO14"/>
  <c r="AO13"/>
  <c r="AO12"/>
  <c r="AO11"/>
  <c r="AN14"/>
  <c r="AN13"/>
  <c r="AN12"/>
  <c r="AN11"/>
  <c r="AN10"/>
  <c r="AM14"/>
  <c r="AM13"/>
  <c r="AM11"/>
  <c r="AM12"/>
  <c r="AM10"/>
  <c r="AM9"/>
  <c r="AL14"/>
  <c r="AL13"/>
  <c r="AL12"/>
  <c r="AL11"/>
  <c r="AL10"/>
  <c r="AL9"/>
  <c r="AL8"/>
  <c r="AK14"/>
  <c r="AK13"/>
  <c r="AK12"/>
  <c r="AK11"/>
  <c r="AK10"/>
  <c r="AK9"/>
  <c r="AK8"/>
  <c r="AK7"/>
  <c r="F12" i="3"/>
  <c r="G12"/>
  <c r="H12"/>
  <c r="I12"/>
  <c r="J12"/>
  <c r="K12"/>
  <c r="L12"/>
  <c r="N6"/>
  <c r="N7"/>
  <c r="N8"/>
  <c r="N9"/>
  <c r="N10"/>
  <c r="N5"/>
  <c r="M6"/>
  <c r="M7"/>
  <c r="M8"/>
  <c r="M9"/>
  <c r="M10"/>
  <c r="W254" i="2"/>
  <c r="M5" i="3"/>
  <c r="E11"/>
  <c r="V255" i="2"/>
  <c r="V256"/>
  <c r="V257"/>
  <c r="V258"/>
  <c r="V259"/>
  <c r="V260"/>
  <c r="V261"/>
  <c r="V254"/>
  <c r="X254" s="1"/>
  <c r="V243"/>
  <c r="V244"/>
  <c r="V245"/>
  <c r="V246"/>
  <c r="V247"/>
  <c r="V248"/>
  <c r="V249"/>
  <c r="V242"/>
  <c r="V231"/>
  <c r="V232"/>
  <c r="V233"/>
  <c r="V234"/>
  <c r="V235"/>
  <c r="V236"/>
  <c r="V237"/>
  <c r="V230"/>
  <c r="W230" s="1"/>
  <c r="V218"/>
  <c r="V212"/>
  <c r="V213"/>
  <c r="V214"/>
  <c r="V215"/>
  <c r="V216"/>
  <c r="V217"/>
  <c r="V211"/>
  <c r="W199"/>
  <c r="V200"/>
  <c r="V201"/>
  <c r="V202"/>
  <c r="V203"/>
  <c r="V204"/>
  <c r="V205"/>
  <c r="V206"/>
  <c r="V199"/>
  <c r="V188"/>
  <c r="V189"/>
  <c r="V190"/>
  <c r="V191"/>
  <c r="V192"/>
  <c r="V193"/>
  <c r="V194"/>
  <c r="V187"/>
  <c r="AF7"/>
  <c r="F11" i="3"/>
  <c r="G11"/>
  <c r="H11"/>
  <c r="I11"/>
  <c r="J11"/>
  <c r="K11"/>
  <c r="L11"/>
  <c r="E12"/>
  <c r="P254" i="2"/>
  <c r="O254"/>
  <c r="O242"/>
  <c r="O230"/>
  <c r="O199"/>
  <c r="P211"/>
  <c r="O211"/>
  <c r="N261"/>
  <c r="N260"/>
  <c r="N259"/>
  <c r="N258"/>
  <c r="N257"/>
  <c r="N256"/>
  <c r="N255"/>
  <c r="N254"/>
  <c r="N249"/>
  <c r="N248"/>
  <c r="N247"/>
  <c r="N246"/>
  <c r="N245"/>
  <c r="N244"/>
  <c r="N243"/>
  <c r="N242"/>
  <c r="P242" s="1"/>
  <c r="N237"/>
  <c r="N236"/>
  <c r="N235"/>
  <c r="N234"/>
  <c r="N233"/>
  <c r="N232"/>
  <c r="N231"/>
  <c r="N230"/>
  <c r="N218"/>
  <c r="N217"/>
  <c r="N216"/>
  <c r="N215"/>
  <c r="N214"/>
  <c r="N213"/>
  <c r="N212"/>
  <c r="N211"/>
  <c r="N206"/>
  <c r="N205"/>
  <c r="N204"/>
  <c r="N203"/>
  <c r="N202"/>
  <c r="N201"/>
  <c r="N200"/>
  <c r="N199"/>
  <c r="N194"/>
  <c r="N193"/>
  <c r="N192"/>
  <c r="N191"/>
  <c r="N190"/>
  <c r="N189"/>
  <c r="N188"/>
  <c r="N187"/>
  <c r="X242"/>
  <c r="W242"/>
  <c r="X230"/>
  <c r="X211"/>
  <c r="W211"/>
  <c r="X199"/>
  <c r="X187"/>
  <c r="W187"/>
  <c r="T246"/>
  <c r="T247"/>
  <c r="T249"/>
  <c r="T248"/>
  <c r="T231"/>
  <c r="T232"/>
  <c r="T233"/>
  <c r="T234"/>
  <c r="T235"/>
  <c r="T236"/>
  <c r="T237"/>
  <c r="T212"/>
  <c r="T213"/>
  <c r="T214"/>
  <c r="T216"/>
  <c r="T217"/>
  <c r="T218"/>
  <c r="V170"/>
  <c r="V169"/>
  <c r="V168"/>
  <c r="V167"/>
  <c r="V166"/>
  <c r="V165"/>
  <c r="V164"/>
  <c r="V163"/>
  <c r="V152"/>
  <c r="V153"/>
  <c r="X151" s="1"/>
  <c r="V154"/>
  <c r="V155"/>
  <c r="V156"/>
  <c r="V157"/>
  <c r="V158"/>
  <c r="V151"/>
  <c r="N152"/>
  <c r="N153"/>
  <c r="N154"/>
  <c r="N155"/>
  <c r="N156"/>
  <c r="N157"/>
  <c r="N158"/>
  <c r="N151"/>
  <c r="V146"/>
  <c r="V145"/>
  <c r="V144"/>
  <c r="V143"/>
  <c r="V142"/>
  <c r="V141"/>
  <c r="V140"/>
  <c r="V139"/>
  <c r="X139" s="1"/>
  <c r="X120"/>
  <c r="W120"/>
  <c r="V127"/>
  <c r="V126"/>
  <c r="V125"/>
  <c r="V124"/>
  <c r="V123"/>
  <c r="V122"/>
  <c r="V121"/>
  <c r="V120"/>
  <c r="X96"/>
  <c r="W96"/>
  <c r="X108"/>
  <c r="W108"/>
  <c r="V109"/>
  <c r="V110"/>
  <c r="V111"/>
  <c r="V112"/>
  <c r="V113"/>
  <c r="V114"/>
  <c r="V115"/>
  <c r="V108"/>
  <c r="V97"/>
  <c r="V98"/>
  <c r="V99"/>
  <c r="V100"/>
  <c r="V101"/>
  <c r="V102"/>
  <c r="V103"/>
  <c r="V96"/>
  <c r="P96"/>
  <c r="AE81"/>
  <c r="AF81" s="1"/>
  <c r="AE80"/>
  <c r="AF80" s="1"/>
  <c r="AE79"/>
  <c r="AF79" s="1"/>
  <c r="AE78"/>
  <c r="AF78" s="1"/>
  <c r="AE77"/>
  <c r="AF77" s="1"/>
  <c r="AE76"/>
  <c r="AF76" s="1"/>
  <c r="AE75"/>
  <c r="AF75" s="1"/>
  <c r="AE74"/>
  <c r="AF74" s="1"/>
  <c r="AE62"/>
  <c r="AF62" s="1"/>
  <c r="AG62" s="1"/>
  <c r="AE69"/>
  <c r="AF69" s="1"/>
  <c r="AE68"/>
  <c r="AF68" s="1"/>
  <c r="AE67"/>
  <c r="AF67" s="1"/>
  <c r="AE66"/>
  <c r="AF66" s="1"/>
  <c r="AE65"/>
  <c r="AF65" s="1"/>
  <c r="AE64"/>
  <c r="AF64" s="1"/>
  <c r="AE63"/>
  <c r="AF63" s="1"/>
  <c r="AE50"/>
  <c r="AF50" s="1"/>
  <c r="AE57"/>
  <c r="AF57" s="1"/>
  <c r="AE56"/>
  <c r="AF56" s="1"/>
  <c r="AE55"/>
  <c r="AF55" s="1"/>
  <c r="AE54"/>
  <c r="AF54" s="1"/>
  <c r="AE53"/>
  <c r="AF53" s="1"/>
  <c r="AE52"/>
  <c r="AF52" s="1"/>
  <c r="AE51"/>
  <c r="AF51" s="1"/>
  <c r="AE32"/>
  <c r="AE33"/>
  <c r="AF33" s="1"/>
  <c r="AE34"/>
  <c r="AE35"/>
  <c r="AF35" s="1"/>
  <c r="AE36"/>
  <c r="AE37"/>
  <c r="AF37" s="1"/>
  <c r="AE38"/>
  <c r="AE31"/>
  <c r="AD31"/>
  <c r="AF38"/>
  <c r="AF36"/>
  <c r="AF34"/>
  <c r="AF32"/>
  <c r="AF31"/>
  <c r="AD19"/>
  <c r="AE19" s="1"/>
  <c r="AF19" s="1"/>
  <c r="AE26"/>
  <c r="AF26" s="1"/>
  <c r="AE25"/>
  <c r="AF25" s="1"/>
  <c r="AE24"/>
  <c r="AF24" s="1"/>
  <c r="AE23"/>
  <c r="AF23" s="1"/>
  <c r="AE22"/>
  <c r="AF22" s="1"/>
  <c r="AE21"/>
  <c r="AF21" s="1"/>
  <c r="AE20"/>
  <c r="AF20" s="1"/>
  <c r="AE7"/>
  <c r="AE8"/>
  <c r="AF8"/>
  <c r="AE9"/>
  <c r="AF9"/>
  <c r="AE10"/>
  <c r="AF10"/>
  <c r="AE11"/>
  <c r="AF11"/>
  <c r="AE12"/>
  <c r="AF12"/>
  <c r="AE13"/>
  <c r="AF13"/>
  <c r="AE14"/>
  <c r="AF14"/>
  <c r="P163"/>
  <c r="O163"/>
  <c r="N170"/>
  <c r="N163"/>
  <c r="N166"/>
  <c r="N169"/>
  <c r="N168"/>
  <c r="N167"/>
  <c r="N165"/>
  <c r="N164"/>
  <c r="P151"/>
  <c r="O151"/>
  <c r="P139"/>
  <c r="O139"/>
  <c r="N139"/>
  <c r="N146"/>
  <c r="N145"/>
  <c r="N144"/>
  <c r="N143"/>
  <c r="N142"/>
  <c r="N141"/>
  <c r="N140"/>
  <c r="P120"/>
  <c r="O120"/>
  <c r="N127"/>
  <c r="J99" i="1"/>
  <c r="N126" i="2"/>
  <c r="N121"/>
  <c r="N125"/>
  <c r="N124"/>
  <c r="N123"/>
  <c r="N122"/>
  <c r="N120"/>
  <c r="P108"/>
  <c r="O108"/>
  <c r="J60" i="1"/>
  <c r="C59"/>
  <c r="C49"/>
  <c r="N115" i="2"/>
  <c r="N114"/>
  <c r="N113"/>
  <c r="N112"/>
  <c r="N111"/>
  <c r="N110"/>
  <c r="N109"/>
  <c r="N108"/>
  <c r="O96"/>
  <c r="N103"/>
  <c r="N96"/>
  <c r="D20" i="1"/>
  <c r="N102" i="2"/>
  <c r="N101"/>
  <c r="N100"/>
  <c r="N99"/>
  <c r="N98"/>
  <c r="N97"/>
  <c r="G163"/>
  <c r="F163"/>
  <c r="E170"/>
  <c r="E169"/>
  <c r="E168"/>
  <c r="E167"/>
  <c r="E166"/>
  <c r="E165"/>
  <c r="E164"/>
  <c r="E163"/>
  <c r="J145" i="1"/>
  <c r="C145"/>
  <c r="F108" i="2"/>
  <c r="G108"/>
  <c r="E140"/>
  <c r="D113" i="1"/>
  <c r="C113"/>
  <c r="E146" i="2"/>
  <c r="E145"/>
  <c r="E144"/>
  <c r="E143"/>
  <c r="E142"/>
  <c r="E141"/>
  <c r="E139"/>
  <c r="E126"/>
  <c r="I88" i="1"/>
  <c r="I87"/>
  <c r="I79"/>
  <c r="J79"/>
  <c r="H79"/>
  <c r="E127" i="2"/>
  <c r="E125"/>
  <c r="E124"/>
  <c r="E123"/>
  <c r="E122"/>
  <c r="E121"/>
  <c r="E120"/>
  <c r="C42" i="1"/>
  <c r="E96" i="2"/>
  <c r="E102"/>
  <c r="C21" i="1"/>
  <c r="E115" i="2"/>
  <c r="E114"/>
  <c r="E113"/>
  <c r="E112"/>
  <c r="E111"/>
  <c r="E110"/>
  <c r="E109"/>
  <c r="E108"/>
  <c r="G7"/>
  <c r="E97"/>
  <c r="E98"/>
  <c r="E99"/>
  <c r="E100"/>
  <c r="E101"/>
  <c r="E103"/>
  <c r="G71"/>
  <c r="F71"/>
  <c r="E71"/>
  <c r="E73"/>
  <c r="F60"/>
  <c r="F49"/>
  <c r="E50"/>
  <c r="E51"/>
  <c r="E52"/>
  <c r="E53"/>
  <c r="E54"/>
  <c r="E55"/>
  <c r="E56"/>
  <c r="E49"/>
  <c r="C50"/>
  <c r="C51"/>
  <c r="C52"/>
  <c r="C53"/>
  <c r="C54"/>
  <c r="C55"/>
  <c r="C56"/>
  <c r="C49"/>
  <c r="F29"/>
  <c r="F7"/>
  <c r="X74"/>
  <c r="W74"/>
  <c r="V81"/>
  <c r="V80"/>
  <c r="V79"/>
  <c r="V78"/>
  <c r="V77"/>
  <c r="V76"/>
  <c r="V75"/>
  <c r="V74"/>
  <c r="P74"/>
  <c r="X62"/>
  <c r="W62"/>
  <c r="V62"/>
  <c r="X50"/>
  <c r="W50"/>
  <c r="V50"/>
  <c r="V36"/>
  <c r="X31"/>
  <c r="W31"/>
  <c r="P19"/>
  <c r="X7"/>
  <c r="W7"/>
  <c r="V8"/>
  <c r="V9"/>
  <c r="V10"/>
  <c r="V11"/>
  <c r="V12"/>
  <c r="V13"/>
  <c r="V14"/>
  <c r="V7"/>
  <c r="V51"/>
  <c r="V52"/>
  <c r="V53"/>
  <c r="V54"/>
  <c r="V55"/>
  <c r="V56"/>
  <c r="V57"/>
  <c r="V69"/>
  <c r="V68"/>
  <c r="V67"/>
  <c r="V66"/>
  <c r="V65"/>
  <c r="V64"/>
  <c r="V63"/>
  <c r="P50"/>
  <c r="V31"/>
  <c r="V38"/>
  <c r="V37"/>
  <c r="V35"/>
  <c r="V34"/>
  <c r="V33"/>
  <c r="V32"/>
  <c r="P7"/>
  <c r="P31"/>
  <c r="V19"/>
  <c r="V26"/>
  <c r="V25"/>
  <c r="V24"/>
  <c r="V23"/>
  <c r="V22"/>
  <c r="V21"/>
  <c r="V20"/>
  <c r="N81"/>
  <c r="N80"/>
  <c r="N79"/>
  <c r="N78"/>
  <c r="N77"/>
  <c r="N76"/>
  <c r="N75"/>
  <c r="N74"/>
  <c r="N69"/>
  <c r="N68"/>
  <c r="N67"/>
  <c r="N66"/>
  <c r="N65"/>
  <c r="N64"/>
  <c r="N63"/>
  <c r="P62"/>
  <c r="N62"/>
  <c r="N56"/>
  <c r="N51"/>
  <c r="N52"/>
  <c r="N53"/>
  <c r="N54"/>
  <c r="N55"/>
  <c r="N57"/>
  <c r="N50"/>
  <c r="L57"/>
  <c r="N31"/>
  <c r="N38"/>
  <c r="N37"/>
  <c r="N36"/>
  <c r="N35"/>
  <c r="N34"/>
  <c r="N33"/>
  <c r="N32"/>
  <c r="N19"/>
  <c r="N26"/>
  <c r="N25"/>
  <c r="N24"/>
  <c r="N23"/>
  <c r="N7"/>
  <c r="N14"/>
  <c r="N13"/>
  <c r="N12"/>
  <c r="N11"/>
  <c r="N10"/>
  <c r="N9"/>
  <c r="N8"/>
  <c r="E72"/>
  <c r="E74"/>
  <c r="E75"/>
  <c r="E76"/>
  <c r="E77"/>
  <c r="E78"/>
  <c r="K202" i="1"/>
  <c r="E61" i="2"/>
  <c r="E62"/>
  <c r="E63"/>
  <c r="E64"/>
  <c r="E65"/>
  <c r="E66"/>
  <c r="E67"/>
  <c r="E60"/>
  <c r="G60" s="1"/>
  <c r="G49"/>
  <c r="C129" i="1"/>
  <c r="E30" i="2"/>
  <c r="E31"/>
  <c r="E32"/>
  <c r="E33"/>
  <c r="E34"/>
  <c r="E35"/>
  <c r="E36"/>
  <c r="E29"/>
  <c r="H99" i="1"/>
  <c r="E18" i="2"/>
  <c r="E19"/>
  <c r="E20"/>
  <c r="E21"/>
  <c r="E22"/>
  <c r="E23"/>
  <c r="E24"/>
  <c r="E25"/>
  <c r="C60" i="1"/>
  <c r="E14" i="2"/>
  <c r="E8"/>
  <c r="E9"/>
  <c r="E10"/>
  <c r="E11"/>
  <c r="E12"/>
  <c r="E13"/>
  <c r="E198" i="1"/>
  <c r="E199"/>
  <c r="D199"/>
  <c r="D28"/>
  <c r="E182"/>
  <c r="E190" s="1"/>
  <c r="C198"/>
  <c r="H182"/>
  <c r="C189"/>
  <c r="D182"/>
  <c r="D190" s="1"/>
  <c r="C182"/>
  <c r="C190" s="1"/>
  <c r="J199"/>
  <c r="F199"/>
  <c r="G199"/>
  <c r="H199"/>
  <c r="I199"/>
  <c r="C199"/>
  <c r="D198"/>
  <c r="F198"/>
  <c r="G198"/>
  <c r="H198"/>
  <c r="I198"/>
  <c r="J198"/>
  <c r="F190"/>
  <c r="G190"/>
  <c r="I190"/>
  <c r="E189"/>
  <c r="F189"/>
  <c r="G189"/>
  <c r="H189"/>
  <c r="I189"/>
  <c r="J189"/>
  <c r="D189"/>
  <c r="F182"/>
  <c r="G182"/>
  <c r="H190"/>
  <c r="I182"/>
  <c r="J182"/>
  <c r="D161"/>
  <c r="E161"/>
  <c r="F161"/>
  <c r="G161"/>
  <c r="H161"/>
  <c r="I161"/>
  <c r="J161"/>
  <c r="C161"/>
  <c r="D160"/>
  <c r="E160"/>
  <c r="F160"/>
  <c r="G160"/>
  <c r="H160"/>
  <c r="I160"/>
  <c r="J160"/>
  <c r="C160"/>
  <c r="D151"/>
  <c r="E151"/>
  <c r="F151"/>
  <c r="G151"/>
  <c r="H151"/>
  <c r="I151"/>
  <c r="J151"/>
  <c r="C151"/>
  <c r="D145"/>
  <c r="D152" s="1"/>
  <c r="E145"/>
  <c r="E152" s="1"/>
  <c r="F145"/>
  <c r="F152" s="1"/>
  <c r="G145"/>
  <c r="G152" s="1"/>
  <c r="H145"/>
  <c r="H152" s="1"/>
  <c r="I145"/>
  <c r="I152" s="1"/>
  <c r="J152"/>
  <c r="C152"/>
  <c r="C130"/>
  <c r="C121"/>
  <c r="C120"/>
  <c r="J125"/>
  <c r="J130" s="1"/>
  <c r="J129"/>
  <c r="K121"/>
  <c r="H130"/>
  <c r="I130"/>
  <c r="H129"/>
  <c r="I129"/>
  <c r="H120"/>
  <c r="I120"/>
  <c r="J120"/>
  <c r="H113"/>
  <c r="H121" s="1"/>
  <c r="I113"/>
  <c r="I121" s="1"/>
  <c r="J113"/>
  <c r="J121" s="1"/>
  <c r="G130"/>
  <c r="G129"/>
  <c r="F129"/>
  <c r="F130"/>
  <c r="G120"/>
  <c r="G113"/>
  <c r="G121" s="1"/>
  <c r="F120"/>
  <c r="F113"/>
  <c r="F121" s="1"/>
  <c r="E130"/>
  <c r="D130"/>
  <c r="E129"/>
  <c r="D129"/>
  <c r="E120"/>
  <c r="D120"/>
  <c r="E113"/>
  <c r="E121" s="1"/>
  <c r="D121"/>
  <c r="J100"/>
  <c r="J88"/>
  <c r="J87"/>
  <c r="I100"/>
  <c r="H100"/>
  <c r="G100"/>
  <c r="G99"/>
  <c r="I99"/>
  <c r="G87"/>
  <c r="H87"/>
  <c r="G88"/>
  <c r="I74"/>
  <c r="H74"/>
  <c r="H88" s="1"/>
  <c r="E100"/>
  <c r="F100"/>
  <c r="E99"/>
  <c r="F99"/>
  <c r="E88"/>
  <c r="F88"/>
  <c r="E87"/>
  <c r="F87"/>
  <c r="D100"/>
  <c r="D99"/>
  <c r="D88"/>
  <c r="D87"/>
  <c r="C88"/>
  <c r="C87"/>
  <c r="C100"/>
  <c r="C99"/>
  <c r="I50"/>
  <c r="I60"/>
  <c r="I59"/>
  <c r="J59"/>
  <c r="J50"/>
  <c r="I49"/>
  <c r="J49"/>
  <c r="G60"/>
  <c r="H60"/>
  <c r="G59"/>
  <c r="H59"/>
  <c r="D60"/>
  <c r="D59"/>
  <c r="H50"/>
  <c r="G50"/>
  <c r="H49"/>
  <c r="G49"/>
  <c r="F60"/>
  <c r="E60"/>
  <c r="F59"/>
  <c r="E59"/>
  <c r="F49"/>
  <c r="E49"/>
  <c r="F42"/>
  <c r="F50" s="1"/>
  <c r="E42"/>
  <c r="E50" s="1"/>
  <c r="D49"/>
  <c r="D42"/>
  <c r="D50" s="1"/>
  <c r="C50"/>
  <c r="J20"/>
  <c r="I20"/>
  <c r="I11"/>
  <c r="J11"/>
  <c r="H28"/>
  <c r="H20"/>
  <c r="H21" s="1"/>
  <c r="G28"/>
  <c r="G20"/>
  <c r="G21" s="1"/>
  <c r="F28"/>
  <c r="F20"/>
  <c r="F21" s="1"/>
  <c r="E28"/>
  <c r="E20"/>
  <c r="E21" s="1"/>
  <c r="D21"/>
  <c r="C28"/>
  <c r="J28"/>
  <c r="I28"/>
  <c r="M12" i="3" l="1"/>
  <c r="N11"/>
  <c r="M11"/>
  <c r="N12"/>
  <c r="O187" i="2"/>
  <c r="P230"/>
  <c r="P199"/>
  <c r="P187"/>
  <c r="X163"/>
  <c r="W163"/>
  <c r="W151"/>
  <c r="W139"/>
  <c r="AG74"/>
  <c r="AH74"/>
  <c r="AH62"/>
  <c r="AG50"/>
  <c r="AH50"/>
  <c r="AG31"/>
  <c r="AH31"/>
  <c r="AG19"/>
  <c r="AH19"/>
  <c r="AH7"/>
  <c r="AG7"/>
  <c r="F18"/>
  <c r="G18"/>
  <c r="X19"/>
  <c r="W19"/>
  <c r="E151"/>
  <c r="G120"/>
  <c r="F120"/>
  <c r="F139"/>
  <c r="G139"/>
  <c r="F96"/>
  <c r="G96"/>
  <c r="G29"/>
  <c r="N22"/>
  <c r="O7"/>
  <c r="E152" l="1"/>
  <c r="N21"/>
  <c r="E153" l="1"/>
  <c r="N20"/>
  <c r="E7"/>
  <c r="E154" l="1"/>
  <c r="E155" l="1"/>
  <c r="E156"/>
  <c r="E157" l="1"/>
  <c r="E158" l="1"/>
  <c r="F151" s="1"/>
  <c r="G151" l="1"/>
</calcChain>
</file>

<file path=xl/sharedStrings.xml><?xml version="1.0" encoding="utf-8"?>
<sst xmlns="http://schemas.openxmlformats.org/spreadsheetml/2006/main" count="604" uniqueCount="121">
  <si>
    <t>Shalt Trading Corporation Limited</t>
  </si>
  <si>
    <t>Particulars</t>
  </si>
  <si>
    <t xml:space="preserve">  Plant &amp; Equipment</t>
  </si>
  <si>
    <t xml:space="preserve">  Fixed Assets:</t>
  </si>
  <si>
    <t xml:space="preserve">  Deffered Tax</t>
  </si>
  <si>
    <t xml:space="preserve">  Investment</t>
  </si>
  <si>
    <t xml:space="preserve">  Total fixed Assets</t>
  </si>
  <si>
    <t xml:space="preserve">  Total Depreciation</t>
  </si>
  <si>
    <t xml:space="preserve">  Net fixed assets</t>
  </si>
  <si>
    <t xml:space="preserve">  Current Assets:</t>
  </si>
  <si>
    <t xml:space="preserve">  Inventory</t>
  </si>
  <si>
    <t xml:space="preserve">  Bills Receivable</t>
  </si>
  <si>
    <t xml:space="preserve">  Bank &amp; Cash Balance</t>
  </si>
  <si>
    <t xml:space="preserve">  Loan &amp; Advance</t>
  </si>
  <si>
    <t xml:space="preserve">  Total Currant Assets:</t>
  </si>
  <si>
    <t xml:space="preserve">  Share capital</t>
  </si>
  <si>
    <t xml:space="preserve">  Reserve &amp; Surplus</t>
  </si>
  <si>
    <t xml:space="preserve">  current Liabilities</t>
  </si>
  <si>
    <t xml:space="preserve">  provision</t>
  </si>
  <si>
    <t>Balancesheet(Rs.)</t>
  </si>
  <si>
    <t xml:space="preserve">  Long-term Loan</t>
  </si>
  <si>
    <t>Assets:</t>
  </si>
  <si>
    <t>Bishal Bazar Company Limitd</t>
  </si>
  <si>
    <t xml:space="preserve">  Bills Payble</t>
  </si>
  <si>
    <t>Total Current Liabiities</t>
  </si>
  <si>
    <t>Current Liabilities:</t>
  </si>
  <si>
    <t>Capital &amp; Liabilities:</t>
  </si>
  <si>
    <t xml:space="preserve"> Total Assets:</t>
  </si>
  <si>
    <t>Total Capital &amp; Liabilities</t>
  </si>
  <si>
    <t xml:space="preserve">  Proposed Dividend</t>
  </si>
  <si>
    <t xml:space="preserve">      Particulars</t>
  </si>
  <si>
    <t>Nepal Bitumen &amp;Barrel Udhyog</t>
  </si>
  <si>
    <t>Balanceheet(Rs.)</t>
  </si>
  <si>
    <t xml:space="preserve">  Land</t>
  </si>
  <si>
    <t xml:space="preserve">  Fixed Assets</t>
  </si>
  <si>
    <t xml:space="preserve">  Cash</t>
  </si>
  <si>
    <t xml:space="preserve">  Bank Balance</t>
  </si>
  <si>
    <t xml:space="preserve">  Postpond Income Tax</t>
  </si>
  <si>
    <t xml:space="preserve">  Bills Rec./Debtors</t>
  </si>
  <si>
    <t xml:space="preserve">  Secured Loans</t>
  </si>
  <si>
    <t xml:space="preserve">  Overdraft</t>
  </si>
  <si>
    <r>
      <t xml:space="preserve"> </t>
    </r>
    <r>
      <rPr>
        <b/>
        <u/>
        <sz val="10"/>
        <color theme="1"/>
        <rFont val="Calibri"/>
        <family val="2"/>
        <scheme val="minor"/>
      </rPr>
      <t xml:space="preserve"> Total Assets:</t>
    </r>
  </si>
  <si>
    <t xml:space="preserve">  Employee Fund</t>
  </si>
  <si>
    <t xml:space="preserve">  Capital WIP</t>
  </si>
  <si>
    <t xml:space="preserve">  Inventories</t>
  </si>
  <si>
    <t xml:space="preserve">  CL &amp; Provisions:</t>
  </si>
  <si>
    <t>Bottles Nepal Limited</t>
  </si>
  <si>
    <t xml:space="preserve">  Net Fixed Assets</t>
  </si>
  <si>
    <t xml:space="preserve">  Deferred Expenses</t>
  </si>
  <si>
    <t>Nepal Lube Oil Limited</t>
  </si>
  <si>
    <t xml:space="preserve">  Total fixed Assets:</t>
  </si>
  <si>
    <t xml:space="preserve">  Misc. Expenses</t>
  </si>
  <si>
    <t>Nepal Doorsanchar Company Limted</t>
  </si>
  <si>
    <t xml:space="preserve">  Intangible assets</t>
  </si>
  <si>
    <t xml:space="preserve">  Plant and Equipment</t>
  </si>
  <si>
    <t xml:space="preserve">  Capital W-I-P</t>
  </si>
  <si>
    <t xml:space="preserve">  Investments</t>
  </si>
  <si>
    <t xml:space="preserve">  Deferred Tax Asset</t>
  </si>
  <si>
    <t xml:space="preserve">  Total:</t>
  </si>
  <si>
    <t xml:space="preserve">   Fixed Assets</t>
  </si>
  <si>
    <t>Total Debt To Total Assets Ratio =Total Debt/Total Assets</t>
  </si>
  <si>
    <t>Total Debt</t>
  </si>
  <si>
    <t>Total Assets</t>
  </si>
  <si>
    <t>Ratio</t>
  </si>
  <si>
    <t>Mean</t>
  </si>
  <si>
    <t>S.D.</t>
  </si>
  <si>
    <t xml:space="preserve">  Capital  W. I. P.</t>
  </si>
  <si>
    <t xml:space="preserve">      Year</t>
  </si>
  <si>
    <t>Bishal Bazar Company Limited</t>
  </si>
  <si>
    <t>Nepal Bitumin &amp; Barrel Udhyog</t>
  </si>
  <si>
    <t>Bottlers Nepal Limited</t>
  </si>
  <si>
    <t>Nepal Doorsanchar Company Limited</t>
  </si>
  <si>
    <t>Longterm Debt To Total Assets = Longterm Debt/Total Assets</t>
  </si>
  <si>
    <t>LongTermDebt</t>
  </si>
  <si>
    <t>Long Term Debt</t>
  </si>
  <si>
    <t xml:space="preserve">  Long Term Loan</t>
  </si>
  <si>
    <t>Short Term Debt To Total Assets =Short Tem Debt/ Total Assets</t>
  </si>
  <si>
    <t>Short Term Debt</t>
  </si>
  <si>
    <t>Net Fixed Assets</t>
  </si>
  <si>
    <t>Book Value Of FA To Total Assets = Net FA/ Total Assets</t>
  </si>
  <si>
    <t xml:space="preserve">    Total </t>
  </si>
  <si>
    <t>Current Ratio = Current Assets/Current Liabilities</t>
  </si>
  <si>
    <t>Current Assets</t>
  </si>
  <si>
    <t>Current Liabilities</t>
  </si>
  <si>
    <t>Current TA</t>
  </si>
  <si>
    <t>Previous TA</t>
  </si>
  <si>
    <t>CTA -PTA</t>
  </si>
  <si>
    <t>% Change</t>
  </si>
  <si>
    <r>
      <t xml:space="preserve">% Change In Total Assets  =(Current TA- Previous TA)/Previous TA </t>
    </r>
    <r>
      <rPr>
        <b/>
        <sz val="12"/>
        <color theme="1"/>
        <rFont val="Calibri"/>
        <family val="2"/>
      </rPr>
      <t xml:space="preserve">× </t>
    </r>
    <r>
      <rPr>
        <b/>
        <sz val="12"/>
        <color theme="1"/>
        <rFont val="Calibri"/>
        <family val="2"/>
        <scheme val="minor"/>
      </rPr>
      <t>100%</t>
    </r>
  </si>
  <si>
    <t>NPAT</t>
  </si>
  <si>
    <t>Sales</t>
  </si>
  <si>
    <t>Profit %</t>
  </si>
  <si>
    <r>
      <t xml:space="preserve">Net Profit Magin =  NPAT / Sales </t>
    </r>
    <r>
      <rPr>
        <b/>
        <sz val="12"/>
        <color theme="1"/>
        <rFont val="Calibri"/>
        <family val="2"/>
      </rPr>
      <t>× 100%</t>
    </r>
  </si>
  <si>
    <t>Selling &amp; Admn Exp.To Net Sales =  Selling &amp; Admn Exp /Net Sales</t>
  </si>
  <si>
    <t>Selling &amp; Adm Exp</t>
  </si>
  <si>
    <t>Fixed Assets Turnover Ratio =  Sales /Total Assets</t>
  </si>
  <si>
    <t>Name</t>
  </si>
  <si>
    <t>STCL</t>
  </si>
  <si>
    <t>BBCL</t>
  </si>
  <si>
    <t>NBBUL</t>
  </si>
  <si>
    <t>BNL</t>
  </si>
  <si>
    <t>NLOL</t>
  </si>
  <si>
    <t>NDCL</t>
  </si>
  <si>
    <t>S.D</t>
  </si>
  <si>
    <t>Ratio %</t>
  </si>
  <si>
    <t>mean</t>
  </si>
  <si>
    <t>sd.</t>
  </si>
  <si>
    <t>Correlation coefficient</t>
  </si>
  <si>
    <t>TL</t>
  </si>
  <si>
    <t>LTL</t>
  </si>
  <si>
    <t>STL</t>
  </si>
  <si>
    <t>SIZE</t>
  </si>
  <si>
    <t>TANG</t>
  </si>
  <si>
    <t>LIQUI</t>
  </si>
  <si>
    <t>GROW</t>
  </si>
  <si>
    <t>NPMR</t>
  </si>
  <si>
    <t>PROF</t>
  </si>
  <si>
    <t>Variable</t>
  </si>
  <si>
    <t>Summary for calculation of correlation coefficient</t>
  </si>
  <si>
    <t>SANG</t>
  </si>
  <si>
    <t xml:space="preserve">                   Appendix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</si>
</sst>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1" xfId="0" applyFont="1" applyBorder="1" applyAlignment="1"/>
    <xf numFmtId="0" fontId="5" fillId="0" borderId="5" xfId="0" applyFont="1" applyBorder="1" applyAlignment="1"/>
    <xf numFmtId="0" fontId="5" fillId="0" borderId="1" xfId="0" applyFont="1" applyBorder="1"/>
    <xf numFmtId="0" fontId="6" fillId="0" borderId="6" xfId="0" applyFont="1" applyBorder="1" applyAlignment="1"/>
    <xf numFmtId="0" fontId="7" fillId="0" borderId="4" xfId="0" applyFont="1" applyBorder="1" applyAlignment="1"/>
    <xf numFmtId="0" fontId="7" fillId="0" borderId="6" xfId="0" applyFont="1" applyBorder="1" applyAlignment="1"/>
    <xf numFmtId="0" fontId="5" fillId="0" borderId="7" xfId="0" applyFont="1" applyBorder="1" applyAlignment="1"/>
    <xf numFmtId="0" fontId="7" fillId="0" borderId="2" xfId="0" applyFont="1" applyBorder="1" applyAlignment="1"/>
    <xf numFmtId="0" fontId="7" fillId="0" borderId="7" xfId="0" applyFont="1" applyBorder="1" applyAlignment="1"/>
    <xf numFmtId="0" fontId="7" fillId="0" borderId="18" xfId="0" applyFont="1" applyBorder="1"/>
    <xf numFmtId="0" fontId="8" fillId="0" borderId="2" xfId="0" applyFont="1" applyBorder="1" applyAlignment="1"/>
    <xf numFmtId="0" fontId="8" fillId="0" borderId="7" xfId="0" applyFont="1" applyBorder="1" applyAlignment="1"/>
    <xf numFmtId="0" fontId="8" fillId="0" borderId="15" xfId="0" applyFont="1" applyBorder="1" applyAlignment="1"/>
    <xf numFmtId="0" fontId="8" fillId="0" borderId="16" xfId="0" applyFont="1" applyBorder="1" applyAlignment="1"/>
    <xf numFmtId="0" fontId="8" fillId="0" borderId="17" xfId="0" applyFont="1" applyBorder="1" applyAlignment="1"/>
    <xf numFmtId="0" fontId="7" fillId="0" borderId="11" xfId="0" applyFont="1" applyBorder="1"/>
    <xf numFmtId="0" fontId="7" fillId="0" borderId="13" xfId="0" applyFont="1" applyBorder="1"/>
    <xf numFmtId="0" fontId="7" fillId="0" borderId="10" xfId="0" applyFont="1" applyBorder="1"/>
    <xf numFmtId="0" fontId="7" fillId="0" borderId="14" xfId="0" applyFont="1" applyBorder="1"/>
    <xf numFmtId="0" fontId="8" fillId="0" borderId="8" xfId="0" applyFont="1" applyBorder="1"/>
    <xf numFmtId="0" fontId="0" fillId="0" borderId="20" xfId="0" applyBorder="1" applyAlignment="1"/>
    <xf numFmtId="0" fontId="0" fillId="0" borderId="6" xfId="0" applyBorder="1" applyAlignment="1"/>
    <xf numFmtId="0" fontId="0" fillId="0" borderId="0" xfId="0" applyAlignment="1">
      <alignment horizontal="center"/>
    </xf>
    <xf numFmtId="0" fontId="0" fillId="0" borderId="7" xfId="0" applyBorder="1"/>
    <xf numFmtId="0" fontId="7" fillId="0" borderId="7" xfId="0" applyFont="1" applyBorder="1"/>
    <xf numFmtId="0" fontId="7" fillId="0" borderId="0" xfId="0" applyFont="1" applyBorder="1"/>
    <xf numFmtId="0" fontId="7" fillId="0" borderId="21" xfId="0" applyFont="1" applyBorder="1"/>
    <xf numFmtId="0" fontId="7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7" xfId="0" applyFont="1" applyBorder="1" applyAlignment="1"/>
    <xf numFmtId="0" fontId="6" fillId="0" borderId="10" xfId="0" applyFont="1" applyBorder="1"/>
    <xf numFmtId="0" fontId="6" fillId="0" borderId="29" xfId="0" applyFont="1" applyBorder="1"/>
    <xf numFmtId="0" fontId="7" fillId="0" borderId="20" xfId="0" applyFont="1" applyBorder="1"/>
    <xf numFmtId="0" fontId="6" fillId="0" borderId="20" xfId="0" applyFont="1" applyBorder="1"/>
    <xf numFmtId="0" fontId="8" fillId="0" borderId="0" xfId="0" applyFont="1" applyBorder="1"/>
    <xf numFmtId="0" fontId="7" fillId="0" borderId="30" xfId="0" applyFont="1" applyBorder="1"/>
    <xf numFmtId="0" fontId="5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27" xfId="0" applyFont="1" applyBorder="1"/>
    <xf numFmtId="0" fontId="8" fillId="0" borderId="32" xfId="0" applyFont="1" applyBorder="1"/>
    <xf numFmtId="0" fontId="8" fillId="0" borderId="36" xfId="0" applyFont="1" applyBorder="1"/>
    <xf numFmtId="0" fontId="8" fillId="0" borderId="33" xfId="0" applyFont="1" applyBorder="1"/>
    <xf numFmtId="0" fontId="8" fillId="0" borderId="28" xfId="0" applyFont="1" applyBorder="1"/>
    <xf numFmtId="0" fontId="8" fillId="0" borderId="7" xfId="0" applyFont="1" applyBorder="1"/>
    <xf numFmtId="0" fontId="8" fillId="0" borderId="2" xfId="0" applyFont="1" applyBorder="1" applyAlignment="1">
      <alignment horizontal="center"/>
    </xf>
    <xf numFmtId="0" fontId="7" fillId="0" borderId="20" xfId="0" applyFont="1" applyFill="1" applyBorder="1"/>
    <xf numFmtId="0" fontId="8" fillId="0" borderId="1" xfId="0" applyFont="1" applyBorder="1" applyAlignment="1"/>
    <xf numFmtId="0" fontId="6" fillId="0" borderId="1" xfId="0" applyFont="1" applyBorder="1"/>
    <xf numFmtId="0" fontId="6" fillId="0" borderId="31" xfId="0" applyFont="1" applyBorder="1"/>
    <xf numFmtId="0" fontId="6" fillId="0" borderId="26" xfId="0" applyFont="1" applyBorder="1" applyAlignment="1"/>
    <xf numFmtId="0" fontId="6" fillId="0" borderId="12" xfId="0" applyFont="1" applyBorder="1"/>
    <xf numFmtId="0" fontId="8" fillId="0" borderId="34" xfId="0" applyFont="1" applyBorder="1"/>
    <xf numFmtId="0" fontId="4" fillId="0" borderId="7" xfId="0" applyFont="1" applyBorder="1"/>
    <xf numFmtId="0" fontId="4" fillId="0" borderId="1" xfId="0" applyFont="1" applyBorder="1"/>
    <xf numFmtId="0" fontId="8" fillId="0" borderId="1" xfId="0" applyFont="1" applyBorder="1"/>
    <xf numFmtId="0" fontId="8" fillId="0" borderId="37" xfId="0" applyFont="1" applyBorder="1"/>
    <xf numFmtId="0" fontId="7" fillId="0" borderId="7" xfId="0" applyNumberFormat="1" applyFont="1" applyBorder="1"/>
    <xf numFmtId="0" fontId="7" fillId="0" borderId="7" xfId="1" applyNumberFormat="1" applyFont="1" applyBorder="1"/>
    <xf numFmtId="0" fontId="0" fillId="0" borderId="0" xfId="0" applyAlignment="1"/>
    <xf numFmtId="0" fontId="2" fillId="0" borderId="0" xfId="0" applyFont="1" applyBorder="1"/>
    <xf numFmtId="0" fontId="0" fillId="0" borderId="0" xfId="0" applyBorder="1"/>
    <xf numFmtId="0" fontId="2" fillId="0" borderId="2" xfId="0" applyFont="1" applyBorder="1"/>
    <xf numFmtId="0" fontId="3" fillId="0" borderId="2" xfId="0" applyFont="1" applyBorder="1"/>
    <xf numFmtId="0" fontId="4" fillId="0" borderId="0" xfId="0" applyFont="1" applyBorder="1"/>
    <xf numFmtId="0" fontId="6" fillId="0" borderId="38" xfId="0" applyFont="1" applyBorder="1"/>
    <xf numFmtId="0" fontId="0" fillId="0" borderId="2" xfId="0" applyBorder="1"/>
    <xf numFmtId="0" fontId="7" fillId="0" borderId="24" xfId="0" applyFont="1" applyBorder="1"/>
    <xf numFmtId="0" fontId="7" fillId="0" borderId="19" xfId="0" applyFont="1" applyBorder="1"/>
    <xf numFmtId="0" fontId="7" fillId="0" borderId="39" xfId="0" applyFont="1" applyBorder="1"/>
    <xf numFmtId="0" fontId="0" fillId="0" borderId="25" xfId="0" applyBorder="1"/>
    <xf numFmtId="0" fontId="7" fillId="0" borderId="0" xfId="1" applyNumberFormat="1" applyFont="1"/>
    <xf numFmtId="0" fontId="5" fillId="0" borderId="35" xfId="0" applyFont="1" applyBorder="1" applyAlignment="1">
      <alignment horizontal="center"/>
    </xf>
    <xf numFmtId="0" fontId="6" fillId="0" borderId="23" xfId="0" applyFont="1" applyBorder="1" applyAlignment="1"/>
    <xf numFmtId="0" fontId="7" fillId="0" borderId="21" xfId="0" applyFont="1" applyBorder="1" applyAlignment="1"/>
    <xf numFmtId="0" fontId="6" fillId="0" borderId="21" xfId="0" applyFont="1" applyBorder="1" applyAlignment="1"/>
    <xf numFmtId="0" fontId="8" fillId="0" borderId="34" xfId="0" applyFont="1" applyBorder="1" applyAlignment="1"/>
    <xf numFmtId="0" fontId="6" fillId="0" borderId="34" xfId="0" applyFont="1" applyBorder="1"/>
    <xf numFmtId="0" fontId="7" fillId="0" borderId="6" xfId="0" applyFont="1" applyBorder="1"/>
    <xf numFmtId="0" fontId="7" fillId="0" borderId="0" xfId="1" applyNumberFormat="1" applyFont="1" applyBorder="1"/>
    <xf numFmtId="0" fontId="7" fillId="0" borderId="0" xfId="0" applyFont="1" applyBorder="1" applyAlignment="1"/>
    <xf numFmtId="0" fontId="6" fillId="0" borderId="21" xfId="0" applyFont="1" applyBorder="1"/>
    <xf numFmtId="0" fontId="3" fillId="0" borderId="1" xfId="0" applyFont="1" applyBorder="1" applyAlignment="1"/>
    <xf numFmtId="0" fontId="1" fillId="0" borderId="0" xfId="0" applyFont="1" applyBorder="1" applyAlignment="1"/>
    <xf numFmtId="43" fontId="0" fillId="0" borderId="0" xfId="1" applyFont="1"/>
    <xf numFmtId="0" fontId="8" fillId="0" borderId="40" xfId="0" applyFont="1" applyBorder="1" applyAlignment="1"/>
    <xf numFmtId="0" fontId="8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2" fillId="0" borderId="16" xfId="0" applyFont="1" applyBorder="1" applyAlignment="1"/>
    <xf numFmtId="0" fontId="2" fillId="0" borderId="8" xfId="0" applyFont="1" applyBorder="1"/>
    <xf numFmtId="44" fontId="0" fillId="0" borderId="0" xfId="0" applyNumberFormat="1"/>
    <xf numFmtId="0" fontId="3" fillId="0" borderId="0" xfId="0" applyFont="1" applyAlignment="1"/>
    <xf numFmtId="0" fontId="2" fillId="0" borderId="7" xfId="0" applyFont="1" applyBorder="1" applyAlignment="1"/>
    <xf numFmtId="0" fontId="2" fillId="0" borderId="15" xfId="0" applyFont="1" applyBorder="1" applyAlignment="1"/>
    <xf numFmtId="0" fontId="2" fillId="0" borderId="5" xfId="0" applyFont="1" applyBorder="1" applyAlignment="1"/>
    <xf numFmtId="0" fontId="2" fillId="0" borderId="41" xfId="0" applyFont="1" applyBorder="1"/>
    <xf numFmtId="0" fontId="3" fillId="0" borderId="5" xfId="0" applyFont="1" applyBorder="1" applyAlignment="1"/>
    <xf numFmtId="0" fontId="2" fillId="0" borderId="1" xfId="1" applyNumberFormat="1" applyFont="1" applyBorder="1"/>
    <xf numFmtId="0" fontId="2" fillId="0" borderId="22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0" fontId="10" fillId="0" borderId="1" xfId="0" applyFont="1" applyBorder="1" applyAlignment="1"/>
    <xf numFmtId="0" fontId="2" fillId="0" borderId="37" xfId="0" applyFont="1" applyBorder="1"/>
    <xf numFmtId="0" fontId="3" fillId="0" borderId="1" xfId="0" applyFont="1" applyFill="1" applyBorder="1" applyAlignment="1"/>
    <xf numFmtId="0" fontId="2" fillId="0" borderId="0" xfId="1" applyNumberFormat="1" applyFont="1"/>
    <xf numFmtId="0" fontId="2" fillId="0" borderId="42" xfId="0" applyFont="1" applyBorder="1" applyAlignment="1"/>
    <xf numFmtId="0" fontId="2" fillId="0" borderId="1" xfId="0" applyNumberFormat="1" applyFont="1" applyBorder="1"/>
    <xf numFmtId="0" fontId="2" fillId="0" borderId="2" xfId="0" applyNumberFormat="1" applyFont="1" applyBorder="1" applyAlignment="1"/>
    <xf numFmtId="0" fontId="0" fillId="0" borderId="0" xfId="0" applyNumberFormat="1"/>
    <xf numFmtId="0" fontId="12" fillId="0" borderId="43" xfId="0" applyFont="1" applyBorder="1" applyAlignment="1">
      <alignment horizontal="justify" vertical="top" wrapText="1"/>
    </xf>
    <xf numFmtId="0" fontId="12" fillId="0" borderId="44" xfId="0" applyFont="1" applyBorder="1" applyAlignment="1">
      <alignment horizontal="justify" vertical="top" wrapText="1"/>
    </xf>
    <xf numFmtId="0" fontId="12" fillId="0" borderId="45" xfId="0" applyFont="1" applyBorder="1" applyAlignment="1">
      <alignment horizontal="justify" vertical="top" wrapText="1"/>
    </xf>
    <xf numFmtId="0" fontId="12" fillId="0" borderId="46" xfId="0" applyFont="1" applyBorder="1" applyAlignment="1">
      <alignment horizontal="justify" vertical="top" wrapText="1"/>
    </xf>
    <xf numFmtId="0" fontId="12" fillId="0" borderId="47" xfId="0" applyFont="1" applyBorder="1" applyAlignment="1">
      <alignment horizontal="justify" vertical="top" wrapText="1"/>
    </xf>
    <xf numFmtId="0" fontId="12" fillId="0" borderId="48" xfId="0" applyFont="1" applyBorder="1" applyAlignment="1">
      <alignment horizontal="justify" vertical="top" wrapText="1"/>
    </xf>
    <xf numFmtId="0" fontId="0" fillId="0" borderId="31" xfId="0" applyBorder="1"/>
    <xf numFmtId="0" fontId="0" fillId="0" borderId="50" xfId="0" applyBorder="1"/>
    <xf numFmtId="0" fontId="0" fillId="0" borderId="49" xfId="0" applyBorder="1" applyAlignment="1"/>
    <xf numFmtId="0" fontId="12" fillId="0" borderId="51" xfId="0" applyFont="1" applyBorder="1"/>
    <xf numFmtId="0" fontId="12" fillId="0" borderId="52" xfId="0" applyFont="1" applyBorder="1"/>
    <xf numFmtId="0" fontId="12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justify" vertical="top" wrapText="1"/>
    </xf>
    <xf numFmtId="0" fontId="14" fillId="0" borderId="43" xfId="0" applyFont="1" applyBorder="1" applyAlignment="1">
      <alignment horizontal="justify" vertical="top" wrapText="1"/>
    </xf>
    <xf numFmtId="0" fontId="15" fillId="0" borderId="43" xfId="0" applyFont="1" applyBorder="1" applyAlignment="1">
      <alignment horizontal="right" wrapText="1"/>
    </xf>
    <xf numFmtId="0" fontId="14" fillId="0" borderId="45" xfId="0" applyFont="1" applyBorder="1" applyAlignment="1">
      <alignment horizontal="justify" vertical="top" wrapText="1"/>
    </xf>
    <xf numFmtId="0" fontId="15" fillId="0" borderId="45" xfId="0" applyFont="1" applyBorder="1" applyAlignment="1">
      <alignment horizontal="right" wrapText="1"/>
    </xf>
    <xf numFmtId="0" fontId="7" fillId="0" borderId="5" xfId="0" applyFont="1" applyBorder="1"/>
    <xf numFmtId="0" fontId="7" fillId="0" borderId="1" xfId="0" applyFont="1" applyBorder="1"/>
    <xf numFmtId="0" fontId="7" fillId="0" borderId="34" xfId="0" applyFont="1" applyBorder="1"/>
    <xf numFmtId="0" fontId="7" fillId="0" borderId="0" xfId="0" applyFont="1"/>
    <xf numFmtId="0" fontId="7" fillId="0" borderId="23" xfId="0" applyFont="1" applyBorder="1"/>
    <xf numFmtId="0" fontId="17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37" xfId="0" applyNumberFormat="1" applyFont="1" applyBorder="1" applyAlignment="1">
      <alignment horizontal="center"/>
    </xf>
    <xf numFmtId="0" fontId="0" fillId="0" borderId="35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7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%20of%20Manufacturing,%20Trading,%20Hotel%201997-2008\db_non_fin_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rmation"/>
      <sheetName val="Balance_Sheet_Hotel"/>
      <sheetName val="Balance_Steet_Trading"/>
      <sheetName val="Balance_Sheet_Hydro"/>
      <sheetName val="PL_Hotel"/>
      <sheetName val="PL_Trading"/>
      <sheetName val="PL_Hydro"/>
    </sheetNames>
    <sheetDataSet>
      <sheetData sheetId="0" refreshError="1"/>
      <sheetData sheetId="1" refreshError="1"/>
      <sheetData sheetId="2">
        <row r="29">
          <cell r="E29">
            <v>27300000</v>
          </cell>
          <cell r="F29">
            <v>10884851</v>
          </cell>
          <cell r="AD29">
            <v>15650812</v>
          </cell>
          <cell r="AE29">
            <v>32730585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3"/>
  <sheetViews>
    <sheetView tabSelected="1" workbookViewId="0">
      <selection activeCell="C1" sqref="C1:F1"/>
    </sheetView>
  </sheetViews>
  <sheetFormatPr defaultRowHeight="15"/>
  <cols>
    <col min="1" max="1" width="3.42578125" customWidth="1"/>
    <col min="2" max="2" width="19.42578125" customWidth="1"/>
    <col min="3" max="4" width="12" bestFit="1" customWidth="1"/>
    <col min="5" max="5" width="11.85546875" customWidth="1"/>
    <col min="6" max="9" width="12" bestFit="1" customWidth="1"/>
    <col min="10" max="10" width="13.5703125" customWidth="1"/>
    <col min="11" max="11" width="9.140625" hidden="1" customWidth="1"/>
    <col min="13" max="13" width="18.42578125" customWidth="1"/>
    <col min="14" max="14" width="11" bestFit="1" customWidth="1"/>
    <col min="20" max="20" width="11" bestFit="1" customWidth="1"/>
  </cols>
  <sheetData>
    <row r="1" spans="1:14" ht="45" customHeight="1">
      <c r="A1" s="1"/>
      <c r="B1" s="1"/>
      <c r="C1" s="146" t="s">
        <v>120</v>
      </c>
      <c r="D1" s="147"/>
      <c r="E1" s="147"/>
      <c r="F1" s="147"/>
      <c r="G1" s="1"/>
      <c r="H1" s="1"/>
      <c r="I1" s="1"/>
      <c r="J1" s="1"/>
      <c r="K1" s="1"/>
    </row>
    <row r="2" spans="1:14" ht="15.75">
      <c r="A2" s="1"/>
      <c r="B2" s="157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75"/>
    </row>
    <row r="3" spans="1:14" ht="15.75">
      <c r="A3" s="1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75"/>
    </row>
    <row r="4" spans="1:14" ht="15.75">
      <c r="A4" s="74"/>
      <c r="B4" s="162" t="s">
        <v>19</v>
      </c>
      <c r="C4" s="163"/>
      <c r="D4" s="163"/>
      <c r="E4" s="163"/>
      <c r="F4" s="163"/>
      <c r="G4" s="163"/>
      <c r="H4" s="163"/>
      <c r="I4" s="163"/>
      <c r="J4" s="170"/>
      <c r="K4" s="76"/>
    </row>
    <row r="5" spans="1:14" s="3" customFormat="1" ht="15.75">
      <c r="A5" s="2"/>
      <c r="B5" s="4" t="s">
        <v>30</v>
      </c>
      <c r="C5" s="5">
        <v>2005</v>
      </c>
      <c r="D5" s="6">
        <v>2006</v>
      </c>
      <c r="E5" s="6">
        <v>2007</v>
      </c>
      <c r="F5" s="6">
        <v>2008</v>
      </c>
      <c r="G5" s="6">
        <v>2009</v>
      </c>
      <c r="H5" s="6">
        <v>2010</v>
      </c>
      <c r="I5" s="6">
        <v>2011</v>
      </c>
      <c r="J5" s="6">
        <v>2012</v>
      </c>
      <c r="K5" s="77"/>
    </row>
    <row r="6" spans="1:14" ht="15.75">
      <c r="A6" s="1"/>
      <c r="B6" s="7" t="s">
        <v>21</v>
      </c>
      <c r="C6" s="8"/>
      <c r="D6" s="9"/>
      <c r="E6" s="9"/>
      <c r="F6" s="9"/>
      <c r="G6" s="9"/>
      <c r="H6" s="9"/>
      <c r="I6" s="9"/>
      <c r="J6" s="25"/>
      <c r="K6" s="76"/>
      <c r="M6" s="75"/>
      <c r="N6" s="75"/>
    </row>
    <row r="7" spans="1:14" ht="15.75">
      <c r="A7" s="1"/>
      <c r="B7" s="42" t="s">
        <v>3</v>
      </c>
      <c r="C7" s="11"/>
      <c r="D7" s="12"/>
      <c r="E7" s="12"/>
      <c r="F7" s="12"/>
      <c r="G7" s="12"/>
      <c r="H7" s="12"/>
      <c r="I7" s="13"/>
      <c r="J7" s="24"/>
      <c r="K7" s="76"/>
    </row>
    <row r="8" spans="1:14" ht="15.75">
      <c r="A8" s="1"/>
      <c r="B8" s="12" t="s">
        <v>2</v>
      </c>
      <c r="C8" s="11"/>
      <c r="D8" s="12"/>
      <c r="E8" s="12"/>
      <c r="F8" s="12"/>
      <c r="G8" s="12"/>
      <c r="H8" s="12"/>
      <c r="I8" s="12">
        <v>1271971872</v>
      </c>
      <c r="J8" s="12">
        <v>1242746796</v>
      </c>
      <c r="K8" s="76"/>
    </row>
    <row r="9" spans="1:14" ht="15.75">
      <c r="A9" s="1"/>
      <c r="B9" s="12" t="s">
        <v>66</v>
      </c>
      <c r="C9" s="11"/>
      <c r="D9" s="12"/>
      <c r="E9" s="12"/>
      <c r="F9" s="12"/>
      <c r="G9" s="12"/>
      <c r="H9" s="12"/>
      <c r="I9" s="12">
        <v>4942696</v>
      </c>
      <c r="J9" s="12">
        <v>10174879</v>
      </c>
      <c r="K9" s="76"/>
    </row>
    <row r="10" spans="1:14" ht="15.75">
      <c r="A10" s="1"/>
      <c r="B10" s="12" t="s">
        <v>5</v>
      </c>
      <c r="C10" s="11">
        <v>441759529</v>
      </c>
      <c r="D10" s="12">
        <v>455721383</v>
      </c>
      <c r="E10" s="12">
        <v>368654475</v>
      </c>
      <c r="F10" s="12">
        <v>383312777</v>
      </c>
      <c r="G10" s="12">
        <v>395606589</v>
      </c>
      <c r="H10" s="12">
        <v>403477607</v>
      </c>
      <c r="I10" s="12">
        <v>427941544</v>
      </c>
      <c r="J10" s="12">
        <v>421493131</v>
      </c>
      <c r="K10" s="76"/>
    </row>
    <row r="11" spans="1:14" ht="15.75">
      <c r="A11" s="1"/>
      <c r="B11" s="10" t="s">
        <v>6</v>
      </c>
      <c r="C11" s="11">
        <v>1405458211</v>
      </c>
      <c r="D11" s="12">
        <v>1434491341</v>
      </c>
      <c r="E11" s="12">
        <v>1470926686</v>
      </c>
      <c r="F11" s="12">
        <v>1493266802</v>
      </c>
      <c r="G11" s="12">
        <v>1514088446</v>
      </c>
      <c r="H11" s="12">
        <v>1515005408</v>
      </c>
      <c r="I11" s="75">
        <f>SUM(I8:I10)</f>
        <v>1704856112</v>
      </c>
      <c r="J11" s="12">
        <f>SUM(J8:J10)</f>
        <v>1674414806</v>
      </c>
      <c r="K11" s="76"/>
    </row>
    <row r="12" spans="1:14" ht="15.75">
      <c r="A12" s="1"/>
      <c r="B12" s="12" t="s">
        <v>7</v>
      </c>
      <c r="C12" s="11">
        <v>12300128</v>
      </c>
      <c r="D12" s="12">
        <v>54883289</v>
      </c>
      <c r="E12" s="12">
        <v>93059129</v>
      </c>
      <c r="F12" s="12">
        <v>131813863</v>
      </c>
      <c r="G12" s="12">
        <v>170698394</v>
      </c>
      <c r="H12" s="12">
        <v>206135310</v>
      </c>
      <c r="I12" s="12"/>
      <c r="J12" s="12"/>
      <c r="K12" s="76"/>
    </row>
    <row r="13" spans="1:14" ht="15.75">
      <c r="A13" s="1"/>
      <c r="B13" s="10" t="s">
        <v>8</v>
      </c>
      <c r="C13" s="14">
        <v>1393158082</v>
      </c>
      <c r="D13" s="15">
        <v>1379608052</v>
      </c>
      <c r="E13" s="15">
        <v>1377867557</v>
      </c>
      <c r="F13" s="15">
        <v>1361452939</v>
      </c>
      <c r="G13" s="15">
        <v>1343390052</v>
      </c>
      <c r="H13" s="15">
        <v>1308870098</v>
      </c>
      <c r="I13" s="78">
        <v>1704856112</v>
      </c>
      <c r="J13" s="15">
        <v>1674414806</v>
      </c>
      <c r="K13" s="76"/>
    </row>
    <row r="14" spans="1:14" ht="15.75">
      <c r="A14" s="1"/>
      <c r="B14" s="42" t="s">
        <v>9</v>
      </c>
      <c r="C14" s="11"/>
      <c r="D14" s="29"/>
      <c r="E14" s="12"/>
      <c r="F14" s="12"/>
      <c r="G14" s="12"/>
      <c r="H14" s="12"/>
      <c r="I14" s="12"/>
      <c r="J14" s="12"/>
      <c r="K14" s="76"/>
    </row>
    <row r="15" spans="1:14" ht="15.75">
      <c r="A15" s="1"/>
      <c r="B15" s="12" t="s">
        <v>10</v>
      </c>
      <c r="C15" s="11">
        <v>789888205</v>
      </c>
      <c r="D15" s="12">
        <v>876578232</v>
      </c>
      <c r="E15" s="12">
        <v>714440295</v>
      </c>
      <c r="F15" s="12">
        <v>611621230</v>
      </c>
      <c r="G15" s="12">
        <v>1007175635</v>
      </c>
      <c r="H15" s="12">
        <v>1447506550</v>
      </c>
      <c r="I15" s="12">
        <v>1579415218</v>
      </c>
      <c r="J15" s="12">
        <v>1547784946</v>
      </c>
      <c r="K15" s="76"/>
    </row>
    <row r="16" spans="1:14" ht="15.75">
      <c r="A16" s="1"/>
      <c r="B16" s="12" t="s">
        <v>11</v>
      </c>
      <c r="C16" s="11">
        <v>203881404</v>
      </c>
      <c r="D16" s="12">
        <v>196258556</v>
      </c>
      <c r="E16" s="12">
        <v>218938094</v>
      </c>
      <c r="F16" s="12">
        <v>224310407</v>
      </c>
      <c r="G16" s="12">
        <v>244732573</v>
      </c>
      <c r="H16" s="12">
        <v>223039125</v>
      </c>
      <c r="I16" s="12">
        <v>293813091</v>
      </c>
      <c r="J16" s="12">
        <v>263161240</v>
      </c>
      <c r="K16" s="76"/>
    </row>
    <row r="17" spans="1:14" ht="15.75">
      <c r="A17" s="1"/>
      <c r="B17" s="12" t="s">
        <v>12</v>
      </c>
      <c r="C17" s="11">
        <v>51678428</v>
      </c>
      <c r="D17" s="12">
        <v>65072809</v>
      </c>
      <c r="E17" s="12">
        <v>80292345</v>
      </c>
      <c r="F17" s="12">
        <v>62952414</v>
      </c>
      <c r="G17" s="12">
        <v>110634296</v>
      </c>
      <c r="H17" s="12">
        <v>65295940</v>
      </c>
      <c r="I17" s="12">
        <v>111689211</v>
      </c>
      <c r="J17" s="12">
        <v>259345248</v>
      </c>
      <c r="K17" s="76"/>
    </row>
    <row r="18" spans="1:14" ht="15.75">
      <c r="A18" s="1"/>
      <c r="B18" s="12" t="s">
        <v>4</v>
      </c>
      <c r="C18" s="11"/>
      <c r="D18" s="12"/>
      <c r="E18" s="12"/>
      <c r="F18" s="12">
        <v>2987193</v>
      </c>
      <c r="G18" s="12">
        <v>3816913</v>
      </c>
      <c r="H18" s="12">
        <v>4785564</v>
      </c>
      <c r="I18" s="12">
        <v>85989167</v>
      </c>
      <c r="J18" s="12">
        <v>109191882</v>
      </c>
      <c r="K18" s="76"/>
    </row>
    <row r="19" spans="1:14" ht="15.75">
      <c r="A19" s="1"/>
      <c r="B19" s="12" t="s">
        <v>13</v>
      </c>
      <c r="C19" s="11">
        <v>707408920</v>
      </c>
      <c r="D19" s="12">
        <v>746301011</v>
      </c>
      <c r="E19" s="12">
        <v>878272814</v>
      </c>
      <c r="F19" s="12">
        <v>975640222</v>
      </c>
      <c r="G19" s="12">
        <v>1167344054</v>
      </c>
      <c r="H19" s="12">
        <v>1138652562</v>
      </c>
      <c r="I19" s="12">
        <v>1301361321</v>
      </c>
      <c r="J19" s="12">
        <v>932030589</v>
      </c>
      <c r="K19" s="76"/>
    </row>
    <row r="20" spans="1:14" ht="15.75">
      <c r="A20" s="1"/>
      <c r="B20" s="42" t="s">
        <v>14</v>
      </c>
      <c r="C20" s="14">
        <v>1752856957</v>
      </c>
      <c r="D20" s="15">
        <f>SUM(D15:D19)</f>
        <v>1884210608</v>
      </c>
      <c r="E20" s="15">
        <f t="shared" ref="E20:J20" si="0">SUM(E15:E19)</f>
        <v>1891943548</v>
      </c>
      <c r="F20" s="15">
        <f t="shared" si="0"/>
        <v>1877511466</v>
      </c>
      <c r="G20" s="15">
        <f t="shared" si="0"/>
        <v>2533703471</v>
      </c>
      <c r="H20" s="15">
        <f t="shared" si="0"/>
        <v>2879279741</v>
      </c>
      <c r="I20" s="15">
        <f t="shared" si="0"/>
        <v>3372268008</v>
      </c>
      <c r="J20" s="15">
        <f t="shared" si="0"/>
        <v>3111513905</v>
      </c>
      <c r="K20" s="76"/>
    </row>
    <row r="21" spans="1:14" ht="15.75">
      <c r="A21" s="1"/>
      <c r="B21" s="17" t="s">
        <v>41</v>
      </c>
      <c r="C21" s="16">
        <f>SUM(C10+C13+C20)</f>
        <v>3587774568</v>
      </c>
      <c r="D21" s="17">
        <f>SUM(D20+D13+D10)</f>
        <v>3719540043</v>
      </c>
      <c r="E21" s="17">
        <f>SUM(E20+E10+E13)</f>
        <v>3638465580</v>
      </c>
      <c r="F21" s="17">
        <f>SUM(F10+F13+F20)</f>
        <v>3622277182</v>
      </c>
      <c r="G21" s="17">
        <f>SUM(G20+G13+G10)</f>
        <v>4272700112</v>
      </c>
      <c r="H21" s="17">
        <f>SUM(H20+H13+H10)</f>
        <v>4591627446</v>
      </c>
      <c r="I21" s="17">
        <v>5077124120</v>
      </c>
      <c r="J21" s="18">
        <v>4785928711</v>
      </c>
      <c r="K21" s="76"/>
    </row>
    <row r="22" spans="1:14" ht="15.75">
      <c r="A22" s="1"/>
      <c r="B22" s="79" t="s">
        <v>26</v>
      </c>
      <c r="C22" s="19"/>
      <c r="D22" s="20"/>
      <c r="E22" s="20"/>
      <c r="F22" s="20"/>
      <c r="G22" s="20"/>
      <c r="H22" s="20"/>
      <c r="I22" s="20"/>
      <c r="J22" s="20"/>
      <c r="K22" s="76"/>
    </row>
    <row r="23" spans="1:14">
      <c r="B23" s="30" t="s">
        <v>15</v>
      </c>
      <c r="C23" s="21">
        <v>24777700</v>
      </c>
      <c r="D23" s="22">
        <v>24777700</v>
      </c>
      <c r="E23" s="22">
        <v>24777700</v>
      </c>
      <c r="F23" s="22">
        <v>24777700</v>
      </c>
      <c r="G23" s="22">
        <v>28537500</v>
      </c>
      <c r="H23" s="22">
        <v>32859200</v>
      </c>
      <c r="I23" s="22">
        <v>39468300</v>
      </c>
      <c r="J23" s="22">
        <v>53331400</v>
      </c>
      <c r="K23" s="80"/>
    </row>
    <row r="24" spans="1:14">
      <c r="B24" s="81" t="s">
        <v>16</v>
      </c>
      <c r="C24" s="82">
        <v>1546000307</v>
      </c>
      <c r="D24" s="83">
        <v>1524163848</v>
      </c>
      <c r="E24" s="83">
        <v>1374882494</v>
      </c>
      <c r="F24" s="83">
        <v>1351720148</v>
      </c>
      <c r="G24" s="83">
        <v>1326220588</v>
      </c>
      <c r="H24" s="83">
        <v>1285103580</v>
      </c>
      <c r="I24" s="83">
        <v>1373355465</v>
      </c>
      <c r="J24" s="83">
        <v>1428715633</v>
      </c>
      <c r="K24" s="84"/>
    </row>
    <row r="25" spans="1:14">
      <c r="B25" s="21" t="s">
        <v>20</v>
      </c>
      <c r="C25" s="21">
        <v>362889233</v>
      </c>
      <c r="D25" s="22">
        <v>305668706</v>
      </c>
      <c r="E25" s="22">
        <v>416532694</v>
      </c>
      <c r="F25" s="22">
        <v>437625683</v>
      </c>
      <c r="G25" s="22">
        <v>432886967</v>
      </c>
      <c r="H25" s="22">
        <v>430737324</v>
      </c>
      <c r="I25" s="22">
        <v>442085043</v>
      </c>
      <c r="J25" s="22">
        <v>390866089</v>
      </c>
      <c r="M25" s="73"/>
    </row>
    <row r="26" spans="1:14">
      <c r="B26" s="21" t="s">
        <v>17</v>
      </c>
      <c r="C26" s="21">
        <v>1654107328</v>
      </c>
      <c r="D26" s="22">
        <v>1864929789</v>
      </c>
      <c r="E26" s="22">
        <v>1822272692</v>
      </c>
      <c r="F26" s="22">
        <v>1808153651</v>
      </c>
      <c r="G26" s="22">
        <v>2485055057</v>
      </c>
      <c r="H26" s="22">
        <v>2842927342</v>
      </c>
      <c r="I26" s="22">
        <v>2957731734</v>
      </c>
      <c r="J26" s="22">
        <v>2639627143</v>
      </c>
      <c r="M26" s="73"/>
    </row>
    <row r="27" spans="1:14">
      <c r="B27" s="21" t="s">
        <v>18</v>
      </c>
      <c r="C27" s="21"/>
      <c r="D27" s="22"/>
      <c r="E27" s="22"/>
      <c r="F27" s="22"/>
      <c r="G27" s="22"/>
      <c r="H27" s="22"/>
      <c r="I27" s="22">
        <v>264483578</v>
      </c>
      <c r="J27" s="22">
        <v>273388446</v>
      </c>
      <c r="M27" s="73"/>
    </row>
    <row r="28" spans="1:14">
      <c r="B28" s="65" t="s">
        <v>28</v>
      </c>
      <c r="C28" s="23">
        <f t="shared" ref="C28:H28" si="1">SUM(C23:C26)</f>
        <v>3587774568</v>
      </c>
      <c r="D28" s="23">
        <f>SUM(D23:D26)</f>
        <v>3719540043</v>
      </c>
      <c r="E28" s="23">
        <f t="shared" si="1"/>
        <v>3638465580</v>
      </c>
      <c r="F28" s="23">
        <f t="shared" si="1"/>
        <v>3622277182</v>
      </c>
      <c r="G28" s="23">
        <f t="shared" si="1"/>
        <v>4272700112</v>
      </c>
      <c r="H28" s="23">
        <f t="shared" si="1"/>
        <v>4591627446</v>
      </c>
      <c r="I28" s="23">
        <f>SUM(I23:I27)</f>
        <v>5077124120</v>
      </c>
      <c r="J28" s="23">
        <f>SUM(J23:J27)</f>
        <v>4785928711</v>
      </c>
      <c r="M28" s="73"/>
      <c r="N28" s="73"/>
    </row>
    <row r="29" spans="1:14">
      <c r="D29" s="99"/>
    </row>
    <row r="30" spans="1:14">
      <c r="D30" s="100"/>
    </row>
    <row r="31" spans="1:14">
      <c r="D31" s="100"/>
    </row>
    <row r="33" spans="2:13">
      <c r="F33" s="98"/>
    </row>
    <row r="35" spans="2:13">
      <c r="B35" s="159" t="s">
        <v>22</v>
      </c>
      <c r="C35" s="160"/>
      <c r="D35" s="160"/>
      <c r="E35" s="160"/>
      <c r="F35" s="160"/>
      <c r="G35" s="160"/>
      <c r="H35" s="160"/>
      <c r="I35" s="160"/>
      <c r="J35" s="161"/>
    </row>
    <row r="36" spans="2:13">
      <c r="B36" s="162"/>
      <c r="C36" s="163"/>
      <c r="D36" s="163"/>
      <c r="E36" s="163"/>
      <c r="F36" s="163"/>
      <c r="G36" s="163"/>
      <c r="H36" s="163"/>
      <c r="I36" s="163"/>
      <c r="J36" s="164"/>
    </row>
    <row r="37" spans="2:13" ht="15.75">
      <c r="B37" s="165" t="s">
        <v>19</v>
      </c>
      <c r="C37" s="166"/>
      <c r="D37" s="166"/>
      <c r="E37" s="166"/>
      <c r="F37" s="166"/>
      <c r="G37" s="166"/>
      <c r="H37" s="166"/>
      <c r="I37" s="166"/>
      <c r="J37" s="167"/>
    </row>
    <row r="38" spans="2:13">
      <c r="B38" s="32" t="s">
        <v>1</v>
      </c>
      <c r="C38" s="33">
        <v>2005</v>
      </c>
      <c r="D38" s="32">
        <v>2006</v>
      </c>
      <c r="E38" s="32">
        <v>2007</v>
      </c>
      <c r="F38" s="32">
        <v>2008</v>
      </c>
      <c r="G38" s="32">
        <v>2009</v>
      </c>
      <c r="H38" s="32">
        <v>2010</v>
      </c>
      <c r="I38" s="32">
        <v>2011</v>
      </c>
      <c r="J38" s="32">
        <v>2012</v>
      </c>
      <c r="M38" s="26"/>
    </row>
    <row r="39" spans="2:13">
      <c r="B39" s="7" t="s">
        <v>21</v>
      </c>
      <c r="C39" s="35"/>
      <c r="D39" s="36"/>
      <c r="E39" s="34"/>
      <c r="F39" s="37"/>
      <c r="G39" s="34"/>
      <c r="H39" s="35"/>
      <c r="I39" s="34"/>
      <c r="J39" s="37"/>
    </row>
    <row r="40" spans="2:13">
      <c r="B40" s="12" t="s">
        <v>3</v>
      </c>
      <c r="C40" s="39">
        <v>37367744</v>
      </c>
      <c r="D40" s="40">
        <v>40772373</v>
      </c>
      <c r="E40" s="38">
        <v>40037453</v>
      </c>
      <c r="F40" s="41">
        <v>50492009</v>
      </c>
      <c r="G40" s="38">
        <v>57944621</v>
      </c>
      <c r="H40" s="39">
        <v>57908044</v>
      </c>
      <c r="I40" s="38">
        <v>61473044</v>
      </c>
      <c r="J40" s="41">
        <v>59494410</v>
      </c>
    </row>
    <row r="41" spans="2:13">
      <c r="B41" s="12" t="s">
        <v>5</v>
      </c>
      <c r="C41" s="39">
        <v>30600000</v>
      </c>
      <c r="D41" s="40">
        <v>30600000</v>
      </c>
      <c r="E41" s="38">
        <v>30600000</v>
      </c>
      <c r="F41" s="41">
        <v>52873000</v>
      </c>
      <c r="G41" s="38"/>
      <c r="H41" s="39"/>
      <c r="I41" s="38"/>
      <c r="J41" s="41"/>
    </row>
    <row r="42" spans="2:13">
      <c r="B42" s="42" t="s">
        <v>80</v>
      </c>
      <c r="C42" s="50">
        <f>SUM(C40:C41)</f>
        <v>67967744</v>
      </c>
      <c r="D42" s="51">
        <f>SUM(D40:D41)</f>
        <v>71372373</v>
      </c>
      <c r="E42" s="51">
        <f>SUM(E40:E41)</f>
        <v>70637453</v>
      </c>
      <c r="F42" s="51">
        <f>SUM(F40:F41)</f>
        <v>103365009</v>
      </c>
      <c r="G42" s="51">
        <v>57944621</v>
      </c>
      <c r="H42" s="50">
        <v>57908044</v>
      </c>
      <c r="I42" s="51">
        <v>61473044</v>
      </c>
      <c r="J42" s="59">
        <v>59494410</v>
      </c>
    </row>
    <row r="43" spans="2:13">
      <c r="B43" s="42" t="s">
        <v>9</v>
      </c>
      <c r="C43" s="39"/>
      <c r="D43" s="40"/>
      <c r="E43" s="38"/>
      <c r="F43" s="41"/>
      <c r="G43" s="38"/>
      <c r="H43" s="39"/>
      <c r="I43" s="38"/>
      <c r="J43" s="41"/>
    </row>
    <row r="44" spans="2:13">
      <c r="B44" s="12" t="s">
        <v>10</v>
      </c>
      <c r="C44" s="39"/>
      <c r="D44" s="40"/>
      <c r="E44" s="38"/>
      <c r="F44" s="41"/>
      <c r="G44" s="38"/>
      <c r="H44" s="39"/>
      <c r="I44" s="38"/>
      <c r="J44" s="41"/>
    </row>
    <row r="45" spans="2:13">
      <c r="B45" s="12" t="s">
        <v>11</v>
      </c>
      <c r="C45" s="39">
        <v>2181632</v>
      </c>
      <c r="D45" s="40">
        <v>2167968</v>
      </c>
      <c r="E45" s="38">
        <v>1810162</v>
      </c>
      <c r="F45" s="41">
        <v>2027423</v>
      </c>
      <c r="G45" s="38">
        <v>4038032</v>
      </c>
      <c r="H45" s="39">
        <v>4785356</v>
      </c>
      <c r="I45" s="38">
        <v>4249780</v>
      </c>
      <c r="J45" s="41">
        <v>4693214</v>
      </c>
    </row>
    <row r="46" spans="2:13">
      <c r="B46" s="12" t="s">
        <v>12</v>
      </c>
      <c r="C46" s="39">
        <v>12109641</v>
      </c>
      <c r="D46" s="40">
        <v>11842049</v>
      </c>
      <c r="E46" s="38">
        <v>8979006</v>
      </c>
      <c r="F46" s="41">
        <v>5166250</v>
      </c>
      <c r="G46" s="38">
        <v>73180228</v>
      </c>
      <c r="H46" s="39">
        <v>61534305</v>
      </c>
      <c r="I46" s="38">
        <v>84479949</v>
      </c>
      <c r="J46" s="41">
        <v>102443936</v>
      </c>
      <c r="M46" s="73"/>
    </row>
    <row r="47" spans="2:13">
      <c r="B47" s="12" t="s">
        <v>4</v>
      </c>
      <c r="C47" s="39"/>
      <c r="D47" s="40"/>
      <c r="E47" s="38"/>
      <c r="F47" s="41"/>
      <c r="G47" s="38"/>
      <c r="H47" s="39"/>
      <c r="I47" s="38"/>
      <c r="J47" s="41"/>
      <c r="M47" s="73"/>
    </row>
    <row r="48" spans="2:13">
      <c r="B48" s="12" t="s">
        <v>13</v>
      </c>
      <c r="C48" s="39">
        <v>10242716</v>
      </c>
      <c r="D48" s="40">
        <v>11121606</v>
      </c>
      <c r="E48" s="38">
        <v>15065306</v>
      </c>
      <c r="F48" s="41">
        <v>14065800</v>
      </c>
      <c r="G48" s="38">
        <v>14631412</v>
      </c>
      <c r="H48" s="39">
        <v>16478071</v>
      </c>
      <c r="I48" s="38">
        <v>48012074</v>
      </c>
      <c r="J48" s="41">
        <v>56730012</v>
      </c>
      <c r="M48" s="73"/>
    </row>
    <row r="49" spans="2:13" ht="15.75" thickBot="1">
      <c r="B49" s="10" t="s">
        <v>14</v>
      </c>
      <c r="C49" s="50">
        <f>SUM(C45:C48)</f>
        <v>24533989</v>
      </c>
      <c r="D49" s="52">
        <f t="shared" ref="D49:H49" si="2">SUM(D45:D48)</f>
        <v>25131623</v>
      </c>
      <c r="E49" s="51">
        <f t="shared" si="2"/>
        <v>25854474</v>
      </c>
      <c r="F49" s="51">
        <f t="shared" si="2"/>
        <v>21259473</v>
      </c>
      <c r="G49" s="51">
        <f t="shared" si="2"/>
        <v>91849672</v>
      </c>
      <c r="H49" s="51">
        <f t="shared" si="2"/>
        <v>82797732</v>
      </c>
      <c r="I49" s="51">
        <f t="shared" ref="I49:J49" si="3">SUM(I45:I48)</f>
        <v>136741803</v>
      </c>
      <c r="J49" s="51">
        <f t="shared" si="3"/>
        <v>163867162</v>
      </c>
      <c r="M49" s="73"/>
    </row>
    <row r="50" spans="2:13" ht="15.75" thickBot="1">
      <c r="B50" s="64" t="s">
        <v>27</v>
      </c>
      <c r="C50" s="69">
        <f>SUM(C42+C49)</f>
        <v>92501733</v>
      </c>
      <c r="D50" s="53">
        <f>SUM(D42+D49)</f>
        <v>96503996</v>
      </c>
      <c r="E50" s="57">
        <f>SUM(E42:E48)</f>
        <v>96491927</v>
      </c>
      <c r="F50" s="57">
        <f>SUM(F42:F48)</f>
        <v>124624482</v>
      </c>
      <c r="G50" s="57">
        <f>SUM(G42:G48)</f>
        <v>149794293</v>
      </c>
      <c r="H50" s="57">
        <f>SUM(H42:H48)</f>
        <v>140705776</v>
      </c>
      <c r="I50" s="57">
        <f>SUM(I42:I48)</f>
        <v>198214847</v>
      </c>
      <c r="J50" s="57">
        <f t="shared" ref="J50" si="4">SUM(J42:J48)</f>
        <v>223361572</v>
      </c>
      <c r="M50" s="73"/>
    </row>
    <row r="51" spans="2:13">
      <c r="B51" s="44" t="s">
        <v>26</v>
      </c>
      <c r="C51" s="29"/>
      <c r="D51" s="30"/>
      <c r="E51" s="28"/>
      <c r="F51" s="31"/>
      <c r="G51" s="28"/>
      <c r="H51" s="29"/>
      <c r="I51" s="28"/>
      <c r="J51" s="48"/>
      <c r="M51" s="73"/>
    </row>
    <row r="52" spans="2:13">
      <c r="B52" s="45" t="s">
        <v>15</v>
      </c>
      <c r="C52" s="28">
        <v>27300000</v>
      </c>
      <c r="D52" s="28">
        <v>27300000</v>
      </c>
      <c r="E52" s="28">
        <v>27300000</v>
      </c>
      <c r="F52" s="31">
        <v>49140000</v>
      </c>
      <c r="G52" s="31">
        <v>49140000</v>
      </c>
      <c r="H52" s="28">
        <v>50000000</v>
      </c>
      <c r="I52" s="28">
        <v>50000000</v>
      </c>
      <c r="J52" s="28">
        <v>50000000</v>
      </c>
      <c r="M52" s="73"/>
    </row>
    <row r="53" spans="2:13">
      <c r="B53" s="45" t="s">
        <v>16</v>
      </c>
      <c r="C53" s="29">
        <v>11536475</v>
      </c>
      <c r="D53" s="30">
        <v>12148300</v>
      </c>
      <c r="E53" s="28">
        <v>10887450</v>
      </c>
      <c r="F53" s="31">
        <v>38057772</v>
      </c>
      <c r="G53" s="28">
        <v>40628002</v>
      </c>
      <c r="H53" s="29">
        <v>17178109</v>
      </c>
      <c r="I53" s="12">
        <v>61303819</v>
      </c>
      <c r="J53" s="12">
        <v>132899773</v>
      </c>
      <c r="M53" s="73"/>
    </row>
    <row r="54" spans="2:13">
      <c r="B54" s="45" t="s">
        <v>29</v>
      </c>
      <c r="C54" s="29"/>
      <c r="D54" s="30"/>
      <c r="E54" s="28">
        <v>21840000</v>
      </c>
      <c r="F54" s="31"/>
      <c r="G54" s="28"/>
      <c r="H54" s="29"/>
      <c r="I54" s="12"/>
      <c r="J54" s="12"/>
      <c r="M54" s="73"/>
    </row>
    <row r="55" spans="2:13">
      <c r="B55" s="45" t="s">
        <v>20</v>
      </c>
      <c r="C55" s="29"/>
      <c r="D55" s="30"/>
      <c r="E55" s="28"/>
      <c r="F55" s="31"/>
      <c r="G55" s="28"/>
      <c r="H55" s="29"/>
      <c r="I55" s="12">
        <v>12500000</v>
      </c>
      <c r="J55" s="12"/>
      <c r="M55" s="73"/>
    </row>
    <row r="56" spans="2:13">
      <c r="B56" s="46" t="s">
        <v>25</v>
      </c>
      <c r="D56" s="28"/>
      <c r="E56" s="27"/>
      <c r="F56" s="27"/>
      <c r="G56" s="27"/>
      <c r="I56" s="12"/>
      <c r="J56" s="12"/>
      <c r="M56" s="73"/>
    </row>
    <row r="57" spans="2:13">
      <c r="B57" s="45" t="s">
        <v>23</v>
      </c>
      <c r="C57" s="29">
        <v>17733950</v>
      </c>
      <c r="D57" s="30">
        <v>18172514</v>
      </c>
      <c r="E57" s="28">
        <v>19289452</v>
      </c>
      <c r="F57" s="31">
        <v>25223263</v>
      </c>
      <c r="G57" s="28">
        <v>20469947</v>
      </c>
      <c r="H57" s="29">
        <v>20186162</v>
      </c>
      <c r="I57" s="12">
        <v>18914638</v>
      </c>
      <c r="J57" s="12">
        <v>18488976</v>
      </c>
    </row>
    <row r="58" spans="2:13">
      <c r="B58" s="45" t="s">
        <v>18</v>
      </c>
      <c r="C58" s="29">
        <v>35931308</v>
      </c>
      <c r="D58" s="30">
        <v>38883182</v>
      </c>
      <c r="E58" s="28">
        <v>17175025</v>
      </c>
      <c r="F58" s="31">
        <v>12203447</v>
      </c>
      <c r="G58" s="28">
        <v>39556344</v>
      </c>
      <c r="H58" s="29">
        <v>53341505</v>
      </c>
      <c r="I58" s="12">
        <v>55496390</v>
      </c>
      <c r="J58" s="12">
        <v>21972823</v>
      </c>
    </row>
    <row r="59" spans="2:13" ht="15.75" thickBot="1">
      <c r="B59" s="46" t="s">
        <v>24</v>
      </c>
      <c r="C59" s="55">
        <f>SUM(C57:C58)</f>
        <v>53665258</v>
      </c>
      <c r="D59" s="47">
        <f>SUM(D57:D58)</f>
        <v>57055696</v>
      </c>
      <c r="E59" s="58">
        <f>SUM(E57:E58)</f>
        <v>36464477</v>
      </c>
      <c r="F59" s="58">
        <f>SUM(F57:F58)</f>
        <v>37426710</v>
      </c>
      <c r="G59" s="58">
        <f t="shared" ref="G59" si="5">SUM(G57:G58)</f>
        <v>60026291</v>
      </c>
      <c r="H59" s="58">
        <f>SUM(H57:H58)</f>
        <v>73527667</v>
      </c>
      <c r="I59" s="58">
        <f t="shared" ref="I59:J59" si="6">SUM(I57:I58)</f>
        <v>74411028</v>
      </c>
      <c r="J59" s="55">
        <f t="shared" si="6"/>
        <v>40461799</v>
      </c>
    </row>
    <row r="60" spans="2:13">
      <c r="B60" s="63" t="s">
        <v>28</v>
      </c>
      <c r="C60" s="56">
        <f>SUM(C52:C58)</f>
        <v>92501733</v>
      </c>
      <c r="D60" s="54">
        <f>SUM(D52:D58)</f>
        <v>96503996</v>
      </c>
      <c r="E60" s="56">
        <f>SUM(E52:E58)</f>
        <v>96491927</v>
      </c>
      <c r="F60" s="56">
        <f>SUM(F52:F58)</f>
        <v>124624482</v>
      </c>
      <c r="G60" s="56">
        <f t="shared" ref="G60:H60" si="7">SUM(G52:G58)</f>
        <v>149794293</v>
      </c>
      <c r="H60" s="56">
        <f t="shared" si="7"/>
        <v>140705776</v>
      </c>
      <c r="I60" s="56">
        <f>SUM(I52:I58)</f>
        <v>198214847</v>
      </c>
      <c r="J60" s="56">
        <f>SUM(J52:J58)</f>
        <v>223361572</v>
      </c>
    </row>
    <row r="61" spans="2:13">
      <c r="B61" s="29"/>
      <c r="C61" s="29"/>
      <c r="D61" s="29"/>
      <c r="E61" s="29"/>
      <c r="F61" s="29"/>
      <c r="G61" s="29"/>
      <c r="H61" s="29"/>
      <c r="I61" s="29"/>
      <c r="J61" s="29"/>
    </row>
    <row r="62" spans="2:13">
      <c r="B62" s="49"/>
      <c r="C62" s="29"/>
      <c r="D62" s="29"/>
      <c r="E62" s="29"/>
      <c r="F62" s="29"/>
      <c r="G62" s="29"/>
      <c r="H62" s="29"/>
      <c r="I62" s="29"/>
      <c r="J62" s="29"/>
    </row>
    <row r="63" spans="2:13">
      <c r="B63" s="29"/>
      <c r="C63" s="29"/>
      <c r="D63" s="29"/>
      <c r="E63" s="29"/>
      <c r="F63" s="29"/>
      <c r="G63" s="29"/>
      <c r="H63" s="29"/>
      <c r="I63" s="29"/>
      <c r="J63" s="29"/>
    </row>
    <row r="64" spans="2:13">
      <c r="B64" s="29"/>
      <c r="C64" s="29"/>
      <c r="D64" s="29"/>
      <c r="E64" s="29"/>
      <c r="F64" s="29"/>
      <c r="G64" s="29"/>
      <c r="H64" s="29"/>
      <c r="I64" s="29"/>
      <c r="J64" s="29"/>
    </row>
    <row r="65" spans="2:10">
      <c r="B65" s="29"/>
      <c r="C65" s="29"/>
      <c r="D65" s="29"/>
      <c r="E65" s="29"/>
      <c r="F65" s="29"/>
      <c r="G65" s="29"/>
      <c r="H65" s="29"/>
      <c r="I65" s="29"/>
      <c r="J65" s="29"/>
    </row>
    <row r="66" spans="2:10">
      <c r="B66" s="29"/>
      <c r="C66" s="29"/>
      <c r="D66" s="29"/>
      <c r="E66" s="29"/>
      <c r="F66" s="29"/>
      <c r="G66" s="29"/>
      <c r="H66" s="29"/>
      <c r="I66" s="29"/>
      <c r="J66" s="29"/>
    </row>
    <row r="67" spans="2:10">
      <c r="B67" s="29"/>
    </row>
    <row r="69" spans="2:10">
      <c r="B69" s="148" t="s">
        <v>31</v>
      </c>
      <c r="C69" s="149"/>
      <c r="D69" s="149"/>
      <c r="E69" s="149"/>
      <c r="F69" s="149"/>
      <c r="G69" s="149"/>
      <c r="H69" s="149"/>
      <c r="I69" s="149"/>
      <c r="J69" s="150"/>
    </row>
    <row r="70" spans="2:10">
      <c r="B70" s="151"/>
      <c r="C70" s="152"/>
      <c r="D70" s="152"/>
      <c r="E70" s="152"/>
      <c r="F70" s="152"/>
      <c r="G70" s="152"/>
      <c r="H70" s="152"/>
      <c r="I70" s="152"/>
      <c r="J70" s="153"/>
    </row>
    <row r="71" spans="2:10">
      <c r="B71" s="154" t="s">
        <v>32</v>
      </c>
      <c r="C71" s="155"/>
      <c r="D71" s="155"/>
      <c r="E71" s="155"/>
      <c r="F71" s="155"/>
      <c r="G71" s="155"/>
      <c r="H71" s="155"/>
      <c r="I71" s="155"/>
      <c r="J71" s="156"/>
    </row>
    <row r="72" spans="2:10">
      <c r="B72" s="32" t="s">
        <v>1</v>
      </c>
      <c r="C72" s="33">
        <v>2005</v>
      </c>
      <c r="D72" s="32">
        <v>2006</v>
      </c>
      <c r="E72" s="32">
        <v>2007</v>
      </c>
      <c r="F72" s="32">
        <v>2008</v>
      </c>
      <c r="G72" s="32">
        <v>2009</v>
      </c>
      <c r="H72" s="32">
        <v>2010</v>
      </c>
      <c r="I72" s="32">
        <v>2011</v>
      </c>
      <c r="J72" s="32">
        <v>2012</v>
      </c>
    </row>
    <row r="73" spans="2:10">
      <c r="B73" s="7" t="s">
        <v>21</v>
      </c>
      <c r="C73" s="28"/>
      <c r="D73" s="29"/>
      <c r="E73" s="28"/>
      <c r="F73" s="29"/>
      <c r="G73" s="28"/>
      <c r="H73" s="29"/>
      <c r="I73" s="28"/>
      <c r="J73" s="31"/>
    </row>
    <row r="74" spans="2:10">
      <c r="B74" s="12" t="s">
        <v>34</v>
      </c>
      <c r="C74" s="28">
        <v>11139260</v>
      </c>
      <c r="D74" s="29">
        <v>9807692</v>
      </c>
      <c r="E74" s="28">
        <v>8683795</v>
      </c>
      <c r="F74" s="29">
        <v>7638706</v>
      </c>
      <c r="G74" s="28">
        <v>8082950</v>
      </c>
      <c r="H74" s="29">
        <f>SUM(11902777+40530987+52899076)</f>
        <v>105332840</v>
      </c>
      <c r="I74" s="28">
        <f>SUM(11278320+78219138)</f>
        <v>89497458</v>
      </c>
      <c r="J74" s="31">
        <v>10605857</v>
      </c>
    </row>
    <row r="75" spans="2:10">
      <c r="B75" s="12" t="s">
        <v>2</v>
      </c>
      <c r="C75" s="28"/>
      <c r="D75" s="29"/>
      <c r="E75" s="28"/>
      <c r="F75" s="29"/>
      <c r="G75" s="28"/>
      <c r="H75" s="29"/>
      <c r="I75" s="28"/>
      <c r="J75" s="31"/>
    </row>
    <row r="76" spans="2:10">
      <c r="B76" s="12" t="s">
        <v>33</v>
      </c>
      <c r="C76" s="28"/>
      <c r="D76" s="29"/>
      <c r="E76" s="28"/>
      <c r="F76" s="29"/>
      <c r="G76" s="28"/>
      <c r="H76" s="29"/>
      <c r="I76" s="28"/>
      <c r="J76" s="31">
        <v>440376</v>
      </c>
    </row>
    <row r="77" spans="2:10">
      <c r="B77" s="12" t="s">
        <v>5</v>
      </c>
      <c r="C77" s="28"/>
      <c r="D77" s="29"/>
      <c r="E77" s="28"/>
      <c r="F77" s="29"/>
      <c r="G77" s="28"/>
      <c r="H77" s="28">
        <v>5000000</v>
      </c>
      <c r="I77" s="28">
        <v>5000000</v>
      </c>
      <c r="J77" s="28">
        <v>5000000</v>
      </c>
    </row>
    <row r="78" spans="2:10">
      <c r="B78" s="12" t="s">
        <v>37</v>
      </c>
      <c r="C78" s="31"/>
      <c r="D78" s="39"/>
      <c r="E78" s="28"/>
      <c r="F78" s="29"/>
      <c r="G78" s="28"/>
      <c r="H78" s="29">
        <v>84752</v>
      </c>
      <c r="I78" s="28">
        <v>2700733</v>
      </c>
      <c r="J78" s="31"/>
    </row>
    <row r="79" spans="2:10">
      <c r="B79" s="42" t="s">
        <v>6</v>
      </c>
      <c r="C79" s="58">
        <v>11139260</v>
      </c>
      <c r="D79" s="47">
        <v>9807692</v>
      </c>
      <c r="E79" s="58">
        <v>8683795</v>
      </c>
      <c r="F79" s="47">
        <v>7638706</v>
      </c>
      <c r="G79" s="58">
        <v>8082950</v>
      </c>
      <c r="H79" s="58">
        <f>SUM(H74:H78)</f>
        <v>110417592</v>
      </c>
      <c r="I79" s="58">
        <f>SUM(I74:I78)</f>
        <v>97198191</v>
      </c>
      <c r="J79" s="58">
        <f>SUM(J74:J78)</f>
        <v>16046233</v>
      </c>
    </row>
    <row r="80" spans="2:10">
      <c r="B80" s="42" t="s">
        <v>9</v>
      </c>
      <c r="C80" s="28"/>
      <c r="D80" s="29"/>
      <c r="E80" s="28"/>
      <c r="F80" s="29"/>
      <c r="G80" s="28"/>
      <c r="H80" s="29"/>
      <c r="I80" s="28"/>
      <c r="J80" s="31"/>
    </row>
    <row r="81" spans="2:10">
      <c r="B81" s="12" t="s">
        <v>10</v>
      </c>
      <c r="C81" s="28">
        <v>13459404</v>
      </c>
      <c r="D81" s="29">
        <v>14534996</v>
      </c>
      <c r="E81" s="28">
        <v>38778572</v>
      </c>
      <c r="F81" s="29">
        <v>65812589</v>
      </c>
      <c r="G81" s="28">
        <v>66575230</v>
      </c>
      <c r="H81" s="29">
        <v>28996944</v>
      </c>
      <c r="I81" s="28">
        <v>155654054</v>
      </c>
      <c r="J81" s="31">
        <v>104197482</v>
      </c>
    </row>
    <row r="82" spans="2:10">
      <c r="B82" s="12" t="s">
        <v>38</v>
      </c>
      <c r="C82" s="28">
        <v>92438038</v>
      </c>
      <c r="D82" s="29">
        <v>102211515</v>
      </c>
      <c r="E82" s="28">
        <v>128617527</v>
      </c>
      <c r="F82" s="28">
        <v>113195592</v>
      </c>
      <c r="G82" s="28">
        <v>102211515</v>
      </c>
      <c r="H82" s="29">
        <v>191098913</v>
      </c>
      <c r="I82" s="28">
        <v>102810051</v>
      </c>
      <c r="J82" s="31">
        <v>144662836</v>
      </c>
    </row>
    <row r="83" spans="2:10">
      <c r="B83" s="12" t="s">
        <v>35</v>
      </c>
      <c r="C83" s="28"/>
      <c r="D83" s="29"/>
      <c r="E83" s="28"/>
      <c r="F83" s="29"/>
      <c r="G83" s="28"/>
      <c r="H83" s="29"/>
      <c r="I83" s="28"/>
      <c r="J83" s="31">
        <v>4233</v>
      </c>
    </row>
    <row r="84" spans="2:10">
      <c r="B84" s="27" t="s">
        <v>36</v>
      </c>
      <c r="C84" s="31">
        <v>3074340</v>
      </c>
      <c r="D84" s="29">
        <v>4276458</v>
      </c>
      <c r="E84" s="28">
        <v>25987779</v>
      </c>
      <c r="F84" s="29">
        <v>4608908</v>
      </c>
      <c r="G84" s="28">
        <v>17508965</v>
      </c>
      <c r="H84" s="29">
        <v>49687161</v>
      </c>
      <c r="I84" s="28">
        <v>16030870</v>
      </c>
      <c r="J84" s="31">
        <v>35779696</v>
      </c>
    </row>
    <row r="85" spans="2:10">
      <c r="B85" s="12" t="s">
        <v>13</v>
      </c>
      <c r="C85" s="28">
        <v>10893859</v>
      </c>
      <c r="D85" s="29">
        <v>11519142</v>
      </c>
      <c r="E85" s="28">
        <v>14963375</v>
      </c>
      <c r="F85" s="29">
        <v>13848517</v>
      </c>
      <c r="G85" s="28">
        <v>14963375</v>
      </c>
      <c r="H85" s="29">
        <v>8643695</v>
      </c>
      <c r="I85" s="28">
        <v>10478092</v>
      </c>
      <c r="J85" s="31">
        <v>41770201</v>
      </c>
    </row>
    <row r="86" spans="2:10">
      <c r="B86" s="12" t="s">
        <v>4</v>
      </c>
      <c r="C86" s="28"/>
      <c r="D86" s="29"/>
      <c r="E86" s="28"/>
      <c r="F86" s="29"/>
      <c r="G86" s="28"/>
      <c r="H86" s="29"/>
      <c r="I86" s="28"/>
      <c r="J86" s="31">
        <v>1040400</v>
      </c>
    </row>
    <row r="87" spans="2:10">
      <c r="B87" s="10" t="s">
        <v>14</v>
      </c>
      <c r="C87" s="58">
        <f>SUM(C81:C85)</f>
        <v>119865641</v>
      </c>
      <c r="D87" s="58">
        <f>SUM(D81:D85)</f>
        <v>132542111</v>
      </c>
      <c r="E87" s="58">
        <f t="shared" ref="E87:H87" si="8">SUM(E81:E85)</f>
        <v>208347253</v>
      </c>
      <c r="F87" s="58">
        <f t="shared" si="8"/>
        <v>197465606</v>
      </c>
      <c r="G87" s="58">
        <f t="shared" si="8"/>
        <v>201259085</v>
      </c>
      <c r="H87" s="58">
        <f t="shared" si="8"/>
        <v>278426713</v>
      </c>
      <c r="I87" s="58">
        <f>SUM(I81:I85)</f>
        <v>284973067</v>
      </c>
      <c r="J87" s="58">
        <f>SUM(J81:J86)</f>
        <v>327454848</v>
      </c>
    </row>
    <row r="88" spans="2:10">
      <c r="B88" s="61" t="s">
        <v>41</v>
      </c>
      <c r="C88" s="66">
        <f>SUM(C79:C86)</f>
        <v>131004901</v>
      </c>
      <c r="D88" s="66">
        <f>SUM(D79:D86)</f>
        <v>142349803</v>
      </c>
      <c r="E88" s="66">
        <f t="shared" ref="E88:J88" si="9">SUM(E79:E86)</f>
        <v>217031048</v>
      </c>
      <c r="F88" s="66">
        <f t="shared" si="9"/>
        <v>205104312</v>
      </c>
      <c r="G88" s="66">
        <f t="shared" si="9"/>
        <v>209342035</v>
      </c>
      <c r="H88" s="66">
        <f t="shared" si="9"/>
        <v>388844305</v>
      </c>
      <c r="I88" s="66">
        <f>SUM(I79:I86)</f>
        <v>382171258</v>
      </c>
      <c r="J88" s="69">
        <f t="shared" si="9"/>
        <v>343501081</v>
      </c>
    </row>
    <row r="89" spans="2:10">
      <c r="B89" s="43" t="s">
        <v>26</v>
      </c>
      <c r="C89" s="28"/>
      <c r="D89" s="29"/>
      <c r="E89" s="28"/>
      <c r="F89" s="29"/>
      <c r="G89" s="28"/>
      <c r="H89" s="29"/>
      <c r="I89" s="28"/>
      <c r="J89" s="31"/>
    </row>
    <row r="90" spans="2:10">
      <c r="B90" s="21" t="s">
        <v>15</v>
      </c>
      <c r="C90" s="28">
        <v>21068000</v>
      </c>
      <c r="D90" s="28">
        <v>21068000</v>
      </c>
      <c r="E90" s="28">
        <v>21068000</v>
      </c>
      <c r="F90" s="28">
        <v>21068000</v>
      </c>
      <c r="G90" s="28">
        <v>21068000</v>
      </c>
      <c r="H90" s="28">
        <v>21068000</v>
      </c>
      <c r="I90" s="28">
        <v>21068000</v>
      </c>
      <c r="J90" s="28">
        <v>21068000</v>
      </c>
    </row>
    <row r="91" spans="2:10">
      <c r="B91" s="21" t="s">
        <v>16</v>
      </c>
      <c r="C91" s="28">
        <v>2943161</v>
      </c>
      <c r="D91" s="29">
        <v>2716755</v>
      </c>
      <c r="E91" s="28">
        <v>4452721</v>
      </c>
      <c r="F91" s="29">
        <v>3265386</v>
      </c>
      <c r="G91" s="28">
        <v>7560225</v>
      </c>
      <c r="H91" s="29">
        <v>8150524</v>
      </c>
      <c r="I91" s="28">
        <v>11019636</v>
      </c>
      <c r="J91" s="31">
        <v>14058396</v>
      </c>
    </row>
    <row r="92" spans="2:10">
      <c r="B92" s="21" t="s">
        <v>20</v>
      </c>
      <c r="C92" s="28"/>
      <c r="D92" s="12"/>
      <c r="E92" s="28"/>
      <c r="F92" s="29"/>
      <c r="G92" s="28"/>
      <c r="H92" s="29"/>
      <c r="I92" s="28"/>
      <c r="J92" s="31"/>
    </row>
    <row r="93" spans="2:10">
      <c r="B93" s="46" t="s">
        <v>25</v>
      </c>
      <c r="C93" s="12"/>
      <c r="D93" s="12"/>
      <c r="E93" s="28"/>
      <c r="F93" s="29"/>
      <c r="G93" s="28"/>
      <c r="H93" s="29"/>
      <c r="I93" s="28"/>
      <c r="J93" s="31"/>
    </row>
    <row r="94" spans="2:10">
      <c r="B94" s="45" t="s">
        <v>23</v>
      </c>
      <c r="C94" s="12">
        <v>38466246</v>
      </c>
      <c r="D94" s="12">
        <v>51007166</v>
      </c>
      <c r="E94" s="31">
        <v>74760208</v>
      </c>
      <c r="F94" s="29">
        <v>54283884</v>
      </c>
      <c r="G94" s="28">
        <v>37896993</v>
      </c>
      <c r="H94" s="28">
        <v>103909499</v>
      </c>
      <c r="I94" s="28">
        <v>37896993</v>
      </c>
      <c r="J94" s="28">
        <v>2428155</v>
      </c>
    </row>
    <row r="95" spans="2:10">
      <c r="B95" s="45" t="s">
        <v>18</v>
      </c>
      <c r="C95" s="12">
        <v>7535989</v>
      </c>
      <c r="D95" s="12">
        <v>10886382</v>
      </c>
      <c r="E95" s="12">
        <v>14748008</v>
      </c>
      <c r="F95" s="12">
        <v>14377349</v>
      </c>
      <c r="G95" s="12">
        <v>20203008</v>
      </c>
      <c r="H95" s="12">
        <v>14029119</v>
      </c>
      <c r="I95" s="12">
        <v>17478044</v>
      </c>
      <c r="J95" s="12">
        <v>20203008</v>
      </c>
    </row>
    <row r="96" spans="2:10">
      <c r="B96" s="60" t="s">
        <v>39</v>
      </c>
      <c r="C96" s="12">
        <v>60991505</v>
      </c>
      <c r="D96" s="12">
        <v>56671500</v>
      </c>
      <c r="E96" s="31">
        <v>102002111</v>
      </c>
      <c r="F96" s="12">
        <v>112109693</v>
      </c>
      <c r="G96" s="31">
        <v>122613809</v>
      </c>
      <c r="H96" s="12">
        <v>240358061</v>
      </c>
      <c r="I96" s="12">
        <v>293379483</v>
      </c>
      <c r="J96" s="12">
        <v>255790000</v>
      </c>
    </row>
    <row r="97" spans="2:10">
      <c r="B97" s="60" t="s">
        <v>42</v>
      </c>
      <c r="C97" s="12"/>
      <c r="D97" s="12"/>
      <c r="E97" s="31"/>
      <c r="F97" s="12"/>
      <c r="G97" s="12"/>
      <c r="H97" s="12">
        <v>1329102</v>
      </c>
      <c r="I97" s="12">
        <v>1329102</v>
      </c>
      <c r="J97" s="12"/>
    </row>
    <row r="98" spans="2:10">
      <c r="B98" s="60" t="s">
        <v>40</v>
      </c>
      <c r="C98" s="27"/>
      <c r="D98" s="27"/>
      <c r="E98" s="27"/>
      <c r="F98" s="27"/>
      <c r="G98" s="27"/>
      <c r="H98" s="27"/>
      <c r="I98" s="27"/>
      <c r="J98" s="27">
        <v>29953522</v>
      </c>
    </row>
    <row r="99" spans="2:10">
      <c r="B99" s="46" t="s">
        <v>24</v>
      </c>
      <c r="C99" s="67">
        <f>SUM(C94:C98)</f>
        <v>106993740</v>
      </c>
      <c r="D99" s="67">
        <f>SUM(D94:D98)</f>
        <v>118565048</v>
      </c>
      <c r="E99" s="67">
        <f t="shared" ref="E99:F99" si="10">SUM(E94:E98)</f>
        <v>191510327</v>
      </c>
      <c r="F99" s="67">
        <f t="shared" si="10"/>
        <v>180770926</v>
      </c>
      <c r="G99" s="67">
        <f t="shared" ref="G99" si="11">SUM(G94:G98)</f>
        <v>180713810</v>
      </c>
      <c r="H99" s="67">
        <f>SUM(H94:H98)</f>
        <v>359625781</v>
      </c>
      <c r="I99" s="67">
        <f t="shared" ref="I99" si="12">SUM(I94:I98)</f>
        <v>350083622</v>
      </c>
      <c r="J99" s="67">
        <f>SUM(J94:J98)</f>
        <v>308374685</v>
      </c>
    </row>
    <row r="100" spans="2:10">
      <c r="B100" s="62" t="s">
        <v>28</v>
      </c>
      <c r="C100" s="68">
        <f>SUM(C90:C90:C96)</f>
        <v>131004901</v>
      </c>
      <c r="D100" s="68">
        <f>SUM(D90:D90:D96)</f>
        <v>142349803</v>
      </c>
      <c r="E100" s="68">
        <f>SUM(E90:E90:E96)</f>
        <v>217031048</v>
      </c>
      <c r="F100" s="68">
        <f>SUM(F90:F90:F96)</f>
        <v>205104312</v>
      </c>
      <c r="G100" s="68">
        <f>SUM(G90:G90:G96)</f>
        <v>209342035</v>
      </c>
      <c r="H100" s="68">
        <f>SUM(H90:H98)</f>
        <v>388844305</v>
      </c>
      <c r="I100" s="68">
        <f>SUM(I90:I98)</f>
        <v>382171258</v>
      </c>
      <c r="J100" s="68">
        <f>SUM(J90:J98)</f>
        <v>343501081</v>
      </c>
    </row>
    <row r="103" spans="2:10">
      <c r="B103" s="168" t="s">
        <v>46</v>
      </c>
      <c r="C103" s="168"/>
      <c r="D103" s="168"/>
      <c r="E103" s="168"/>
      <c r="F103" s="168"/>
      <c r="G103" s="168"/>
      <c r="H103" s="168"/>
      <c r="I103" s="168"/>
      <c r="J103" s="168"/>
    </row>
    <row r="104" spans="2:10">
      <c r="B104" s="168"/>
      <c r="C104" s="168"/>
      <c r="D104" s="168"/>
      <c r="E104" s="168"/>
      <c r="F104" s="168"/>
      <c r="G104" s="168"/>
      <c r="H104" s="168"/>
      <c r="I104" s="168"/>
      <c r="J104" s="168"/>
    </row>
    <row r="105" spans="2:10">
      <c r="B105" s="168" t="s">
        <v>19</v>
      </c>
      <c r="C105" s="168"/>
      <c r="D105" s="168"/>
      <c r="E105" s="168"/>
      <c r="F105" s="168"/>
      <c r="G105" s="168"/>
      <c r="H105" s="168"/>
      <c r="I105" s="168"/>
      <c r="J105" s="168"/>
    </row>
    <row r="106" spans="2:10">
      <c r="B106" s="32" t="s">
        <v>1</v>
      </c>
      <c r="C106" s="33">
        <v>2005</v>
      </c>
      <c r="D106" s="32">
        <v>2006</v>
      </c>
      <c r="E106" s="32">
        <v>2007</v>
      </c>
      <c r="F106" s="32">
        <v>2008</v>
      </c>
      <c r="G106" s="32">
        <v>2009</v>
      </c>
      <c r="H106" s="32">
        <v>2010</v>
      </c>
      <c r="I106" s="32">
        <v>2011</v>
      </c>
      <c r="J106" s="32">
        <v>2012</v>
      </c>
    </row>
    <row r="107" spans="2:10">
      <c r="B107" s="7" t="s">
        <v>21</v>
      </c>
      <c r="C107" s="28"/>
      <c r="D107" s="29"/>
      <c r="E107" s="28"/>
      <c r="F107" s="29"/>
      <c r="G107" s="28"/>
      <c r="H107" s="29"/>
      <c r="I107" s="28"/>
      <c r="J107" s="31"/>
    </row>
    <row r="108" spans="2:10">
      <c r="B108" s="42" t="s">
        <v>3</v>
      </c>
      <c r="C108" s="28"/>
      <c r="D108" s="29"/>
      <c r="E108" s="28"/>
      <c r="F108" s="29"/>
      <c r="G108" s="28"/>
      <c r="H108" s="29"/>
      <c r="I108" s="28"/>
      <c r="J108" s="31"/>
    </row>
    <row r="109" spans="2:10">
      <c r="B109" s="12" t="s">
        <v>47</v>
      </c>
      <c r="C109" s="28">
        <v>409426700</v>
      </c>
      <c r="D109" s="29">
        <v>323572714</v>
      </c>
      <c r="E109" s="28">
        <v>631540108</v>
      </c>
      <c r="F109" s="29">
        <v>558537941</v>
      </c>
      <c r="G109" s="28">
        <v>614402139</v>
      </c>
      <c r="H109" s="29">
        <v>643248700</v>
      </c>
      <c r="I109" s="28">
        <v>819741386</v>
      </c>
      <c r="J109" s="31">
        <v>808555038</v>
      </c>
    </row>
    <row r="110" spans="2:10">
      <c r="B110" s="12" t="s">
        <v>43</v>
      </c>
      <c r="C110" s="28"/>
      <c r="D110" s="29">
        <v>176107307</v>
      </c>
      <c r="E110" s="28">
        <v>38195677</v>
      </c>
      <c r="F110" s="29">
        <v>84426230</v>
      </c>
      <c r="G110" s="28">
        <v>23644606</v>
      </c>
      <c r="H110" s="29">
        <v>22499000</v>
      </c>
      <c r="I110" s="28">
        <v>1657740</v>
      </c>
      <c r="J110" s="31">
        <v>42123379</v>
      </c>
    </row>
    <row r="111" spans="2:10">
      <c r="B111" s="12" t="s">
        <v>5</v>
      </c>
      <c r="C111" s="28">
        <v>112627648</v>
      </c>
      <c r="D111" s="29">
        <v>112627648</v>
      </c>
      <c r="E111" s="28">
        <v>112627648</v>
      </c>
      <c r="F111" s="28">
        <v>112627648</v>
      </c>
      <c r="G111" s="28">
        <v>112627648</v>
      </c>
      <c r="H111" s="29">
        <v>112627000</v>
      </c>
      <c r="I111" s="28">
        <v>112627648</v>
      </c>
      <c r="J111" s="28">
        <v>112627648</v>
      </c>
    </row>
    <row r="112" spans="2:10">
      <c r="B112" s="12" t="s">
        <v>48</v>
      </c>
      <c r="C112" s="28">
        <v>15614000</v>
      </c>
      <c r="D112" s="29"/>
      <c r="E112" s="28"/>
      <c r="F112" s="28">
        <v>23568</v>
      </c>
      <c r="G112" s="28">
        <v>19618051</v>
      </c>
      <c r="H112" s="29">
        <v>13316000</v>
      </c>
      <c r="I112" s="28">
        <v>6409502</v>
      </c>
      <c r="J112" s="31">
        <v>1709813</v>
      </c>
    </row>
    <row r="113" spans="2:11">
      <c r="B113" s="10" t="s">
        <v>6</v>
      </c>
      <c r="C113" s="58">
        <f>SUM(C109:C112)</f>
        <v>537668348</v>
      </c>
      <c r="D113" s="47">
        <f>SUM(D109:D112)</f>
        <v>612307669</v>
      </c>
      <c r="E113" s="58">
        <f>SUM(E109:E112)</f>
        <v>782363433</v>
      </c>
      <c r="F113" s="58">
        <f>SUM(F109:F112)</f>
        <v>755615387</v>
      </c>
      <c r="G113" s="58">
        <f>SUM(G109:G112)</f>
        <v>770292444</v>
      </c>
      <c r="H113" s="58">
        <f t="shared" ref="H113:J113" si="13">SUM(H109:H112)</f>
        <v>791690700</v>
      </c>
      <c r="I113" s="58">
        <f t="shared" si="13"/>
        <v>940436276</v>
      </c>
      <c r="J113" s="58">
        <f t="shared" si="13"/>
        <v>965015878</v>
      </c>
    </row>
    <row r="114" spans="2:11">
      <c r="B114" s="42" t="s">
        <v>9</v>
      </c>
      <c r="C114" s="28"/>
      <c r="D114" s="29"/>
      <c r="E114" s="28"/>
      <c r="F114" s="29"/>
      <c r="G114" s="28"/>
      <c r="H114" s="29"/>
      <c r="I114" s="28"/>
      <c r="J114" s="31"/>
    </row>
    <row r="115" spans="2:11">
      <c r="B115" s="12" t="s">
        <v>44</v>
      </c>
      <c r="C115" s="28">
        <v>224070000</v>
      </c>
      <c r="D115" s="29">
        <v>176935643</v>
      </c>
      <c r="E115" s="28">
        <v>189256239</v>
      </c>
      <c r="F115" s="29">
        <v>144004094</v>
      </c>
      <c r="G115" s="28">
        <v>208753792</v>
      </c>
      <c r="H115" s="29">
        <v>304121000</v>
      </c>
      <c r="I115" s="28">
        <v>337039500</v>
      </c>
      <c r="J115" s="31">
        <v>355875551</v>
      </c>
    </row>
    <row r="116" spans="2:11">
      <c r="B116" s="12" t="s">
        <v>11</v>
      </c>
      <c r="C116" s="28">
        <v>80845000</v>
      </c>
      <c r="D116" s="29">
        <v>59462200</v>
      </c>
      <c r="E116" s="28">
        <v>52823249</v>
      </c>
      <c r="F116" s="29">
        <v>36802988</v>
      </c>
      <c r="G116" s="28">
        <v>30204594</v>
      </c>
      <c r="H116" s="29">
        <v>35387000</v>
      </c>
      <c r="I116" s="28">
        <v>45364515</v>
      </c>
      <c r="J116" s="31">
        <v>42829790</v>
      </c>
    </row>
    <row r="117" spans="2:11">
      <c r="B117" s="12" t="s">
        <v>12</v>
      </c>
      <c r="C117" s="28">
        <v>1917000</v>
      </c>
      <c r="D117" s="29">
        <v>35925490</v>
      </c>
      <c r="E117" s="28">
        <v>3464144</v>
      </c>
      <c r="F117" s="29">
        <v>2427935</v>
      </c>
      <c r="G117" s="28">
        <v>3658064</v>
      </c>
      <c r="H117" s="29">
        <v>28780000</v>
      </c>
      <c r="I117" s="28">
        <v>14426219</v>
      </c>
      <c r="J117" s="31">
        <v>47954558</v>
      </c>
    </row>
    <row r="118" spans="2:11">
      <c r="B118" s="12" t="s">
        <v>4</v>
      </c>
      <c r="C118" s="28"/>
      <c r="D118" s="29">
        <v>3699814</v>
      </c>
      <c r="E118" s="28">
        <v>246797</v>
      </c>
      <c r="F118" s="29">
        <v>1871781</v>
      </c>
      <c r="G118" s="28">
        <v>6437848</v>
      </c>
      <c r="H118" s="29"/>
      <c r="I118" s="28">
        <v>219781</v>
      </c>
      <c r="J118" s="31"/>
    </row>
    <row r="119" spans="2:11">
      <c r="B119" s="12" t="s">
        <v>13</v>
      </c>
      <c r="C119" s="28">
        <v>146379000</v>
      </c>
      <c r="D119" s="29">
        <v>163719807</v>
      </c>
      <c r="E119" s="28">
        <v>224159390</v>
      </c>
      <c r="F119" s="29">
        <v>204608751</v>
      </c>
      <c r="G119" s="28">
        <v>296048716</v>
      </c>
      <c r="H119" s="29">
        <v>313151000</v>
      </c>
      <c r="I119" s="28">
        <v>460443210</v>
      </c>
      <c r="J119" s="31">
        <v>541632394</v>
      </c>
    </row>
    <row r="120" spans="2:11">
      <c r="B120" s="42" t="s">
        <v>14</v>
      </c>
      <c r="C120" s="28">
        <f>SUM(C115:C119)</f>
        <v>453211000</v>
      </c>
      <c r="D120" s="70">
        <f>SUM(D115:D119)</f>
        <v>439742954</v>
      </c>
      <c r="E120" s="70">
        <f>SUM(E115:E119)</f>
        <v>469949819</v>
      </c>
      <c r="F120" s="70">
        <f t="shared" ref="F120" si="14">SUM(F115:F119)</f>
        <v>389715549</v>
      </c>
      <c r="G120" s="70">
        <f>SUM(G115:G119)</f>
        <v>545103014</v>
      </c>
      <c r="H120" s="70">
        <f t="shared" ref="H120:J120" si="15">SUM(H115:H119)</f>
        <v>681439000</v>
      </c>
      <c r="I120" s="70">
        <f t="shared" si="15"/>
        <v>857493225</v>
      </c>
      <c r="J120" s="70">
        <f t="shared" si="15"/>
        <v>988292293</v>
      </c>
    </row>
    <row r="121" spans="2:11">
      <c r="B121" s="61" t="s">
        <v>41</v>
      </c>
      <c r="C121" s="69">
        <f>SUM(C113:C119)</f>
        <v>990879348</v>
      </c>
      <c r="D121" s="69">
        <f>SUM(D113:D119)</f>
        <v>1052050623</v>
      </c>
      <c r="E121" s="69">
        <f>SUM(E113:E119)</f>
        <v>1252313252</v>
      </c>
      <c r="F121" s="69">
        <f t="shared" ref="F121" si="16">SUM(F113:F119)</f>
        <v>1145330936</v>
      </c>
      <c r="G121" s="69">
        <f>SUM(G113:G119)</f>
        <v>1315395458</v>
      </c>
      <c r="H121" s="69">
        <f t="shared" ref="H121:K121" si="17">SUM(H113:H119)</f>
        <v>1473129700</v>
      </c>
      <c r="I121" s="69">
        <f t="shared" si="17"/>
        <v>1797929501</v>
      </c>
      <c r="J121" s="69">
        <f t="shared" si="17"/>
        <v>1953308171</v>
      </c>
      <c r="K121" s="69">
        <f t="shared" si="17"/>
        <v>0</v>
      </c>
    </row>
    <row r="122" spans="2:11">
      <c r="B122" s="43" t="s">
        <v>26</v>
      </c>
      <c r="C122" s="28"/>
      <c r="D122" s="29"/>
      <c r="E122" s="28"/>
      <c r="F122" s="29"/>
      <c r="G122" s="28"/>
      <c r="H122" s="29"/>
      <c r="I122" s="28"/>
      <c r="J122" s="31"/>
    </row>
    <row r="123" spans="2:11">
      <c r="B123" s="45" t="s">
        <v>15</v>
      </c>
      <c r="C123" s="71">
        <v>194888700</v>
      </c>
      <c r="D123" s="28">
        <v>194888700</v>
      </c>
      <c r="E123" s="28">
        <v>194888700</v>
      </c>
      <c r="F123" s="28">
        <v>194888700</v>
      </c>
      <c r="G123" s="28">
        <v>194888700</v>
      </c>
      <c r="H123" s="28">
        <v>194888700</v>
      </c>
      <c r="I123" s="28">
        <v>194888700</v>
      </c>
      <c r="J123" s="28">
        <v>194888700</v>
      </c>
    </row>
    <row r="124" spans="2:11">
      <c r="B124" s="21" t="s">
        <v>16</v>
      </c>
      <c r="C124" s="72">
        <v>567000000</v>
      </c>
      <c r="D124" s="29">
        <v>509679677</v>
      </c>
      <c r="E124" s="28">
        <v>481025505</v>
      </c>
      <c r="F124" s="29">
        <v>343523663</v>
      </c>
      <c r="G124" s="28">
        <v>380854904</v>
      </c>
      <c r="H124" s="29">
        <v>411020000</v>
      </c>
      <c r="I124" s="28">
        <v>536444298</v>
      </c>
      <c r="J124" s="31">
        <v>811848722</v>
      </c>
    </row>
    <row r="125" spans="2:11">
      <c r="B125" s="21" t="s">
        <v>20</v>
      </c>
      <c r="C125" s="28"/>
      <c r="D125" s="29">
        <v>72000000</v>
      </c>
      <c r="E125" s="28"/>
      <c r="F125" s="29">
        <v>200000000</v>
      </c>
      <c r="G125" s="28">
        <v>133332000</v>
      </c>
      <c r="H125" s="29">
        <v>79957000</v>
      </c>
      <c r="I125" s="28">
        <v>7955317</v>
      </c>
      <c r="J125" s="31">
        <f>SUM(6889253+8697243)</f>
        <v>15586496</v>
      </c>
    </row>
    <row r="126" spans="2:11">
      <c r="B126" s="43" t="s">
        <v>45</v>
      </c>
      <c r="C126" s="28"/>
      <c r="D126" s="29"/>
      <c r="E126" s="28"/>
      <c r="F126" s="29"/>
      <c r="G126" s="28"/>
      <c r="H126" s="29"/>
      <c r="I126" s="28"/>
      <c r="J126" s="31"/>
    </row>
    <row r="127" spans="2:11">
      <c r="B127" s="21" t="s">
        <v>17</v>
      </c>
      <c r="C127" s="28">
        <v>164399000</v>
      </c>
      <c r="D127" s="29">
        <v>210700866</v>
      </c>
      <c r="E127" s="28">
        <v>512493746</v>
      </c>
      <c r="F127" s="29">
        <v>331558769</v>
      </c>
      <c r="G127" s="28">
        <v>522723084</v>
      </c>
      <c r="H127" s="29">
        <v>513126000</v>
      </c>
      <c r="I127" s="28">
        <v>687435430</v>
      </c>
      <c r="J127" s="31">
        <v>598280224</v>
      </c>
    </row>
    <row r="128" spans="2:11">
      <c r="B128" s="21" t="s">
        <v>18</v>
      </c>
      <c r="C128" s="28">
        <v>64591648</v>
      </c>
      <c r="D128" s="29">
        <v>64781380</v>
      </c>
      <c r="E128" s="28">
        <v>63905301</v>
      </c>
      <c r="F128" s="29">
        <v>75359804</v>
      </c>
      <c r="G128" s="28">
        <v>83596770</v>
      </c>
      <c r="H128" s="29">
        <v>274138000</v>
      </c>
      <c r="I128" s="28">
        <v>371205756</v>
      </c>
      <c r="J128" s="31">
        <v>332704029</v>
      </c>
    </row>
    <row r="129" spans="2:15">
      <c r="B129" s="46" t="s">
        <v>24</v>
      </c>
      <c r="C129" s="58">
        <f>SUM(C127:C128)</f>
        <v>228990648</v>
      </c>
      <c r="D129" s="70">
        <f>SUM(D127:D128)</f>
        <v>275482246</v>
      </c>
      <c r="E129" s="70">
        <f>SUM(E127:E128)</f>
        <v>576399047</v>
      </c>
      <c r="F129" s="70">
        <f>SUM(F127:F128)</f>
        <v>406918573</v>
      </c>
      <c r="G129" s="70">
        <f>SUM(G127:G128)</f>
        <v>606319854</v>
      </c>
      <c r="H129" s="70">
        <f t="shared" ref="H129:I129" si="18">SUM(H127:H128)</f>
        <v>787264000</v>
      </c>
      <c r="I129" s="70">
        <f t="shared" si="18"/>
        <v>1058641186</v>
      </c>
      <c r="J129" s="70">
        <f>SUM(J127:J128)</f>
        <v>930984253</v>
      </c>
    </row>
    <row r="130" spans="2:15">
      <c r="B130" s="62" t="s">
        <v>28</v>
      </c>
      <c r="C130" s="69">
        <f>SUM(C123:C128)</f>
        <v>990879348</v>
      </c>
      <c r="D130" s="69">
        <f>SUM(D123:D128)</f>
        <v>1052050623</v>
      </c>
      <c r="E130" s="69">
        <f>SUM(E123:E128)</f>
        <v>1252313252</v>
      </c>
      <c r="F130" s="69">
        <f>SUM(F123:F128)</f>
        <v>1145330936</v>
      </c>
      <c r="G130" s="69">
        <f>SUM(G123:G128)</f>
        <v>1315395458</v>
      </c>
      <c r="H130" s="69">
        <f t="shared" ref="H130:I130" si="19">SUM(H123:H128)</f>
        <v>1473129700</v>
      </c>
      <c r="I130" s="69">
        <f t="shared" si="19"/>
        <v>1797929501</v>
      </c>
      <c r="J130" s="69">
        <f>SUM(J123:J128)</f>
        <v>1953308171</v>
      </c>
    </row>
    <row r="137" spans="2:15">
      <c r="B137" s="168" t="s">
        <v>49</v>
      </c>
      <c r="C137" s="168"/>
      <c r="D137" s="168"/>
      <c r="E137" s="168"/>
      <c r="F137" s="168"/>
      <c r="G137" s="168"/>
      <c r="H137" s="168"/>
      <c r="I137" s="168"/>
      <c r="J137" s="168"/>
    </row>
    <row r="138" spans="2:15">
      <c r="B138" s="168"/>
      <c r="C138" s="168"/>
      <c r="D138" s="168"/>
      <c r="E138" s="168"/>
      <c r="F138" s="168"/>
      <c r="G138" s="168"/>
      <c r="H138" s="168"/>
      <c r="I138" s="168"/>
      <c r="J138" s="168"/>
    </row>
    <row r="139" spans="2:15">
      <c r="B139" s="168" t="s">
        <v>19</v>
      </c>
      <c r="C139" s="168"/>
      <c r="D139" s="169"/>
      <c r="E139" s="168"/>
      <c r="F139" s="168"/>
      <c r="G139" s="168"/>
      <c r="H139" s="168"/>
      <c r="I139" s="168"/>
      <c r="J139" s="168"/>
    </row>
    <row r="140" spans="2:15">
      <c r="B140" s="32" t="s">
        <v>1</v>
      </c>
      <c r="C140" s="86">
        <v>2005</v>
      </c>
      <c r="D140" s="32">
        <v>2006</v>
      </c>
      <c r="E140" s="86">
        <v>2007</v>
      </c>
      <c r="F140" s="32">
        <v>2008</v>
      </c>
      <c r="G140" s="32">
        <v>2009</v>
      </c>
      <c r="H140" s="32">
        <v>2010</v>
      </c>
      <c r="I140" s="32">
        <v>2011</v>
      </c>
      <c r="J140" s="32">
        <v>2012</v>
      </c>
    </row>
    <row r="141" spans="2:15">
      <c r="B141" s="87" t="s">
        <v>21</v>
      </c>
      <c r="C141" s="92"/>
      <c r="D141" s="29"/>
      <c r="E141" s="92"/>
      <c r="F141" s="28"/>
      <c r="G141" s="28"/>
      <c r="H141" s="29"/>
      <c r="I141" s="28"/>
      <c r="J141" s="31"/>
    </row>
    <row r="142" spans="2:15">
      <c r="B142" s="88" t="s">
        <v>34</v>
      </c>
      <c r="C142" s="72">
        <v>17040802</v>
      </c>
      <c r="D142" s="93">
        <v>15323263</v>
      </c>
      <c r="E142" s="72">
        <v>14921047</v>
      </c>
      <c r="F142" s="72">
        <v>13528238</v>
      </c>
      <c r="G142" s="28">
        <v>12198760</v>
      </c>
      <c r="H142" s="29">
        <v>10995023</v>
      </c>
      <c r="I142" s="28">
        <v>9971114</v>
      </c>
      <c r="J142" s="31">
        <v>9287855</v>
      </c>
    </row>
    <row r="143" spans="2:15">
      <c r="B143" s="88" t="s">
        <v>5</v>
      </c>
      <c r="C143" s="28"/>
      <c r="D143" s="29"/>
      <c r="E143" s="28"/>
      <c r="F143" s="28"/>
      <c r="G143" s="28">
        <v>2000000</v>
      </c>
      <c r="H143" s="29">
        <v>10000000</v>
      </c>
      <c r="I143" s="28">
        <v>21000000</v>
      </c>
      <c r="J143" s="28">
        <v>21000000</v>
      </c>
    </row>
    <row r="144" spans="2:15">
      <c r="B144" s="88" t="s">
        <v>51</v>
      </c>
      <c r="C144" s="72">
        <v>978286</v>
      </c>
      <c r="D144" s="85">
        <v>1191600</v>
      </c>
      <c r="E144" s="72">
        <v>849413.65</v>
      </c>
      <c r="F144" s="28"/>
      <c r="G144" s="28"/>
      <c r="H144" s="29"/>
      <c r="I144" s="28"/>
      <c r="J144" s="28"/>
      <c r="M144" s="73"/>
      <c r="N144" s="73"/>
      <c r="O144" s="73"/>
    </row>
    <row r="145" spans="2:15">
      <c r="B145" s="89" t="s">
        <v>50</v>
      </c>
      <c r="C145" s="58">
        <f>SUM(C142:C144)</f>
        <v>18019088</v>
      </c>
      <c r="D145" s="47">
        <f t="shared" ref="D145:I145" si="20">SUM(D142:D144)</f>
        <v>16514863</v>
      </c>
      <c r="E145" s="58">
        <f t="shared" si="20"/>
        <v>15770460.65</v>
      </c>
      <c r="F145" s="58">
        <f t="shared" si="20"/>
        <v>13528238</v>
      </c>
      <c r="G145" s="58">
        <f t="shared" si="20"/>
        <v>14198760</v>
      </c>
      <c r="H145" s="58">
        <f t="shared" si="20"/>
        <v>20995023</v>
      </c>
      <c r="I145" s="58">
        <f t="shared" si="20"/>
        <v>30971114</v>
      </c>
      <c r="J145" s="58">
        <f>SUM(J142:J144)</f>
        <v>30287855</v>
      </c>
      <c r="M145" s="73"/>
      <c r="N145" s="73"/>
      <c r="O145" s="73"/>
    </row>
    <row r="146" spans="2:15">
      <c r="B146" s="89" t="s">
        <v>9</v>
      </c>
      <c r="C146" s="28"/>
      <c r="D146" s="29"/>
      <c r="E146" s="12"/>
      <c r="F146" s="28"/>
      <c r="G146" s="28"/>
      <c r="H146" s="29"/>
      <c r="I146" s="28"/>
      <c r="J146" s="31"/>
      <c r="M146" s="73"/>
      <c r="N146" s="73"/>
      <c r="O146" s="73"/>
    </row>
    <row r="147" spans="2:15">
      <c r="B147" s="88" t="s">
        <v>44</v>
      </c>
      <c r="C147" s="72">
        <v>36392321</v>
      </c>
      <c r="D147" s="93">
        <v>38259188</v>
      </c>
      <c r="E147" s="72">
        <v>47839085</v>
      </c>
      <c r="F147" s="72">
        <v>33715187</v>
      </c>
      <c r="G147" s="28">
        <v>33081596</v>
      </c>
      <c r="H147" s="29">
        <v>50471295</v>
      </c>
      <c r="I147" s="28">
        <v>51623700</v>
      </c>
      <c r="J147" s="31">
        <v>74416664</v>
      </c>
      <c r="M147" s="73"/>
      <c r="N147" s="73"/>
      <c r="O147" s="73"/>
    </row>
    <row r="148" spans="2:15">
      <c r="B148" s="88" t="s">
        <v>11</v>
      </c>
      <c r="C148" s="72">
        <v>60527403</v>
      </c>
      <c r="D148" s="93">
        <v>70245261</v>
      </c>
      <c r="E148" s="72">
        <v>69478935</v>
      </c>
      <c r="F148" s="72">
        <v>85365153.980000004</v>
      </c>
      <c r="G148" s="28">
        <v>112031883</v>
      </c>
      <c r="H148" s="29">
        <v>132608303</v>
      </c>
      <c r="I148" s="28">
        <v>79850079</v>
      </c>
      <c r="J148" s="31">
        <v>101221991</v>
      </c>
      <c r="M148" s="73"/>
      <c r="N148" s="73"/>
      <c r="O148" s="73"/>
    </row>
    <row r="149" spans="2:15">
      <c r="B149" s="88" t="s">
        <v>12</v>
      </c>
      <c r="C149" s="72">
        <v>2913084</v>
      </c>
      <c r="D149" s="93">
        <v>3178649</v>
      </c>
      <c r="E149" s="72">
        <v>2015309</v>
      </c>
      <c r="F149" s="72">
        <v>3613384.05</v>
      </c>
      <c r="G149" s="28">
        <v>2469286</v>
      </c>
      <c r="H149" s="29">
        <v>4705057</v>
      </c>
      <c r="I149" s="28">
        <v>4473233</v>
      </c>
      <c r="J149" s="31">
        <v>2846050</v>
      </c>
      <c r="M149" s="73"/>
      <c r="N149" s="73"/>
      <c r="O149" s="73"/>
    </row>
    <row r="150" spans="2:15">
      <c r="B150" s="88" t="s">
        <v>13</v>
      </c>
      <c r="C150" s="72">
        <v>10321751</v>
      </c>
      <c r="D150" s="93">
        <v>18408697</v>
      </c>
      <c r="E150" s="72">
        <v>7194309.3700000001</v>
      </c>
      <c r="F150" s="72">
        <v>15031155.76</v>
      </c>
      <c r="G150" s="28">
        <v>13526190</v>
      </c>
      <c r="H150" s="29">
        <v>18667483</v>
      </c>
      <c r="I150" s="28">
        <v>18394723</v>
      </c>
      <c r="J150" s="31">
        <v>26283657</v>
      </c>
      <c r="M150" s="73"/>
      <c r="N150" s="73"/>
      <c r="O150" s="73"/>
    </row>
    <row r="151" spans="2:15">
      <c r="B151" s="89" t="s">
        <v>14</v>
      </c>
      <c r="C151" s="70">
        <f>SUM(C147:C150)</f>
        <v>110154559</v>
      </c>
      <c r="D151" s="47">
        <f t="shared" ref="D151:J151" si="21">SUM(D147:D150)</f>
        <v>130091795</v>
      </c>
      <c r="E151" s="70">
        <f t="shared" si="21"/>
        <v>126527638.37</v>
      </c>
      <c r="F151" s="58">
        <f t="shared" si="21"/>
        <v>137724880.78999999</v>
      </c>
      <c r="G151" s="58">
        <f t="shared" si="21"/>
        <v>161108955</v>
      </c>
      <c r="H151" s="58">
        <f t="shared" si="21"/>
        <v>206452138</v>
      </c>
      <c r="I151" s="58">
        <f t="shared" si="21"/>
        <v>154341735</v>
      </c>
      <c r="J151" s="58">
        <f t="shared" si="21"/>
        <v>204768362</v>
      </c>
      <c r="M151" s="73"/>
      <c r="N151" s="73"/>
      <c r="O151" s="73"/>
    </row>
    <row r="152" spans="2:15">
      <c r="B152" s="90" t="s">
        <v>41</v>
      </c>
      <c r="C152" s="69">
        <f>SUM(C145:C150)</f>
        <v>128173647</v>
      </c>
      <c r="D152" s="69">
        <f t="shared" ref="D152:J152" si="22">SUM(D145:D150)</f>
        <v>146606658</v>
      </c>
      <c r="E152" s="69">
        <f t="shared" si="22"/>
        <v>142298099.02000001</v>
      </c>
      <c r="F152" s="69">
        <f t="shared" si="22"/>
        <v>151253118.78999999</v>
      </c>
      <c r="G152" s="69">
        <f t="shared" si="22"/>
        <v>175307715</v>
      </c>
      <c r="H152" s="69">
        <f t="shared" si="22"/>
        <v>227447161</v>
      </c>
      <c r="I152" s="69">
        <f t="shared" si="22"/>
        <v>185312849</v>
      </c>
      <c r="J152" s="69">
        <f t="shared" si="22"/>
        <v>235056217</v>
      </c>
      <c r="M152" s="73"/>
      <c r="N152" s="73"/>
      <c r="O152" s="73"/>
    </row>
    <row r="153" spans="2:15">
      <c r="B153" s="43" t="s">
        <v>26</v>
      </c>
      <c r="C153" s="28"/>
      <c r="D153" s="28"/>
      <c r="E153" s="94"/>
      <c r="F153" s="28"/>
      <c r="G153" s="28"/>
      <c r="H153" s="29"/>
      <c r="I153" s="28"/>
      <c r="J153" s="31"/>
      <c r="M153" s="73"/>
      <c r="N153" s="73"/>
      <c r="O153" s="73"/>
    </row>
    <row r="154" spans="2:15">
      <c r="B154" s="21" t="s">
        <v>15</v>
      </c>
      <c r="C154" s="72">
        <v>20292200</v>
      </c>
      <c r="D154" s="72">
        <v>20292200</v>
      </c>
      <c r="E154" s="93">
        <v>20292200</v>
      </c>
      <c r="F154" s="72">
        <v>20292200</v>
      </c>
      <c r="G154" s="72">
        <v>20292200</v>
      </c>
      <c r="H154" s="72">
        <v>20292200</v>
      </c>
      <c r="I154" s="72">
        <v>20292200</v>
      </c>
      <c r="J154" s="72">
        <v>20292200</v>
      </c>
      <c r="M154" s="73"/>
      <c r="N154" s="73"/>
      <c r="O154" s="73"/>
    </row>
    <row r="155" spans="2:15">
      <c r="B155" s="21" t="s">
        <v>16</v>
      </c>
      <c r="C155" s="72">
        <v>20479580</v>
      </c>
      <c r="D155" s="72">
        <v>20654457</v>
      </c>
      <c r="E155" s="85">
        <v>22204795</v>
      </c>
      <c r="F155" s="72">
        <v>24533760</v>
      </c>
      <c r="G155" s="28">
        <v>25852315</v>
      </c>
      <c r="H155" s="29">
        <v>32022510</v>
      </c>
      <c r="I155" s="28">
        <v>26694689</v>
      </c>
      <c r="J155" s="31">
        <v>30246254</v>
      </c>
      <c r="M155" s="73"/>
      <c r="N155" s="73"/>
      <c r="O155" s="73"/>
    </row>
    <row r="156" spans="2:15">
      <c r="B156" s="21" t="s">
        <v>20</v>
      </c>
      <c r="C156" s="28"/>
      <c r="D156" s="28"/>
      <c r="E156" s="94"/>
      <c r="F156" s="28"/>
      <c r="G156" s="28"/>
      <c r="H156" s="29"/>
      <c r="I156" s="28"/>
      <c r="J156" s="31"/>
      <c r="M156" s="73"/>
      <c r="N156" s="73"/>
      <c r="O156" s="73"/>
    </row>
    <row r="157" spans="2:15">
      <c r="B157" s="43" t="s">
        <v>45</v>
      </c>
      <c r="C157" s="28"/>
      <c r="D157" s="28"/>
      <c r="E157" s="94"/>
      <c r="F157" s="28"/>
      <c r="G157" s="28"/>
      <c r="H157" s="29"/>
      <c r="I157" s="28"/>
      <c r="J157" s="31"/>
      <c r="M157" s="73"/>
      <c r="N157" s="73"/>
      <c r="O157" s="73"/>
    </row>
    <row r="158" spans="2:15">
      <c r="B158" s="21" t="s">
        <v>17</v>
      </c>
      <c r="C158" s="72">
        <v>74304034</v>
      </c>
      <c r="D158" s="72">
        <v>95459530</v>
      </c>
      <c r="E158" s="85">
        <v>90168528.200000003</v>
      </c>
      <c r="F158" s="72">
        <v>95412531.420000002</v>
      </c>
      <c r="G158" s="28">
        <v>115634909</v>
      </c>
      <c r="H158" s="29">
        <v>158157822</v>
      </c>
      <c r="I158" s="28">
        <v>109873613</v>
      </c>
      <c r="J158" s="31">
        <v>153140929</v>
      </c>
    </row>
    <row r="159" spans="2:15">
      <c r="B159" s="21" t="s">
        <v>18</v>
      </c>
      <c r="C159" s="72">
        <v>13097833</v>
      </c>
      <c r="D159" s="72">
        <v>10200471</v>
      </c>
      <c r="E159" s="85">
        <v>9632575.75</v>
      </c>
      <c r="F159" s="72">
        <v>11014627.99</v>
      </c>
      <c r="G159" s="28">
        <v>13528291</v>
      </c>
      <c r="H159" s="29">
        <v>16974629</v>
      </c>
      <c r="I159" s="28">
        <v>28452347</v>
      </c>
      <c r="J159" s="31">
        <v>31376834</v>
      </c>
    </row>
    <row r="160" spans="2:15">
      <c r="B160" s="43" t="s">
        <v>24</v>
      </c>
      <c r="C160" s="58">
        <f>SUM(C158:C159)</f>
        <v>87401867</v>
      </c>
      <c r="D160" s="58">
        <f t="shared" ref="D160:J160" si="23">SUM(D158:D159)</f>
        <v>105660001</v>
      </c>
      <c r="E160" s="58">
        <f t="shared" si="23"/>
        <v>99801103.950000003</v>
      </c>
      <c r="F160" s="58">
        <f t="shared" si="23"/>
        <v>106427159.41</v>
      </c>
      <c r="G160" s="58">
        <f t="shared" si="23"/>
        <v>129163200</v>
      </c>
      <c r="H160" s="58">
        <f t="shared" si="23"/>
        <v>175132451</v>
      </c>
      <c r="I160" s="58">
        <f t="shared" si="23"/>
        <v>138325960</v>
      </c>
      <c r="J160" s="58">
        <f t="shared" si="23"/>
        <v>184517763</v>
      </c>
    </row>
    <row r="161" spans="1:10">
      <c r="B161" s="91" t="s">
        <v>28</v>
      </c>
      <c r="C161" s="69">
        <f>SUM(C154:C159)</f>
        <v>128173647</v>
      </c>
      <c r="D161" s="69">
        <f t="shared" ref="D161:J161" si="24">SUM(D154:D159)</f>
        <v>146606658</v>
      </c>
      <c r="E161" s="69">
        <f t="shared" si="24"/>
        <v>142298098.94999999</v>
      </c>
      <c r="F161" s="69">
        <f t="shared" si="24"/>
        <v>151253119.41000003</v>
      </c>
      <c r="G161" s="69">
        <f t="shared" si="24"/>
        <v>175307715</v>
      </c>
      <c r="H161" s="69">
        <f t="shared" si="24"/>
        <v>227447161</v>
      </c>
      <c r="I161" s="69">
        <f t="shared" si="24"/>
        <v>185312849</v>
      </c>
      <c r="J161" s="69">
        <f t="shared" si="24"/>
        <v>235056217</v>
      </c>
    </row>
    <row r="162" spans="1:10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71" spans="1:10">
      <c r="B171" s="148" t="s">
        <v>52</v>
      </c>
      <c r="C171" s="149"/>
      <c r="D171" s="149"/>
      <c r="E171" s="149"/>
      <c r="F171" s="149"/>
      <c r="G171" s="149"/>
      <c r="H171" s="149"/>
      <c r="I171" s="149"/>
      <c r="J171" s="150"/>
    </row>
    <row r="172" spans="1:10">
      <c r="B172" s="151"/>
      <c r="C172" s="152"/>
      <c r="D172" s="152"/>
      <c r="E172" s="152"/>
      <c r="F172" s="152"/>
      <c r="G172" s="152"/>
      <c r="H172" s="152"/>
      <c r="I172" s="152"/>
      <c r="J172" s="153"/>
    </row>
    <row r="173" spans="1:10">
      <c r="B173" s="154" t="s">
        <v>19</v>
      </c>
      <c r="C173" s="155"/>
      <c r="D173" s="155"/>
      <c r="E173" s="155"/>
      <c r="F173" s="155"/>
      <c r="G173" s="155"/>
      <c r="H173" s="155"/>
      <c r="I173" s="155"/>
      <c r="J173" s="156"/>
    </row>
    <row r="174" spans="1:10">
      <c r="B174" s="32" t="s">
        <v>1</v>
      </c>
      <c r="C174" s="86">
        <v>2005</v>
      </c>
      <c r="D174" s="32">
        <v>2006</v>
      </c>
      <c r="E174" s="86">
        <v>2007</v>
      </c>
      <c r="F174" s="32">
        <v>2008</v>
      </c>
      <c r="G174" s="32">
        <v>2009</v>
      </c>
      <c r="H174" s="32">
        <v>2010</v>
      </c>
      <c r="I174" s="32">
        <v>2011</v>
      </c>
      <c r="J174" s="32">
        <v>2012</v>
      </c>
    </row>
    <row r="175" spans="1:10">
      <c r="B175" s="87" t="s">
        <v>21</v>
      </c>
      <c r="C175" s="28"/>
      <c r="D175" s="29"/>
      <c r="E175" s="28"/>
      <c r="F175" s="29"/>
      <c r="G175" s="28"/>
      <c r="H175" s="29"/>
      <c r="I175" s="28"/>
      <c r="J175" s="31"/>
    </row>
    <row r="176" spans="1:10">
      <c r="B176" s="88" t="s">
        <v>59</v>
      </c>
      <c r="C176" s="28">
        <v>9040917000</v>
      </c>
      <c r="D176" s="29">
        <v>10088427000</v>
      </c>
      <c r="E176" s="28">
        <v>11361042616</v>
      </c>
      <c r="F176" s="29"/>
      <c r="G176" s="28"/>
      <c r="H176" s="29"/>
      <c r="I176" s="28"/>
      <c r="J176" s="31"/>
    </row>
    <row r="177" spans="2:10">
      <c r="B177" s="30" t="s">
        <v>53</v>
      </c>
      <c r="C177" s="28"/>
      <c r="D177" s="29"/>
      <c r="E177" s="28"/>
      <c r="F177" s="29"/>
      <c r="G177" s="28"/>
      <c r="H177" s="29">
        <v>154207517</v>
      </c>
      <c r="I177" s="28">
        <v>11442385551</v>
      </c>
      <c r="J177" s="31">
        <v>7415448552</v>
      </c>
    </row>
    <row r="178" spans="2:10">
      <c r="B178" s="30" t="s">
        <v>54</v>
      </c>
      <c r="C178" s="28"/>
      <c r="D178" s="29"/>
      <c r="E178" s="28"/>
      <c r="F178" s="29">
        <v>12897703085</v>
      </c>
      <c r="G178" s="28">
        <v>15365515161</v>
      </c>
      <c r="H178" s="29">
        <v>14143908061</v>
      </c>
      <c r="I178" s="28">
        <v>13310852881</v>
      </c>
      <c r="J178" s="31">
        <v>14013277408</v>
      </c>
    </row>
    <row r="179" spans="2:10">
      <c r="B179" s="30" t="s">
        <v>55</v>
      </c>
      <c r="C179" s="28">
        <v>2452578000</v>
      </c>
      <c r="D179" s="29">
        <v>2443061000</v>
      </c>
      <c r="E179" s="28">
        <v>3764646777</v>
      </c>
      <c r="F179" s="29">
        <v>3922699435</v>
      </c>
      <c r="G179" s="28">
        <v>3316504983</v>
      </c>
      <c r="H179" s="29">
        <v>3972222371</v>
      </c>
      <c r="I179" s="28">
        <v>4577078276</v>
      </c>
      <c r="J179" s="31">
        <v>5821932463</v>
      </c>
    </row>
    <row r="180" spans="2:10">
      <c r="B180" s="30" t="s">
        <v>56</v>
      </c>
      <c r="C180" s="28">
        <v>3338734000</v>
      </c>
      <c r="D180" s="29">
        <v>4156948000</v>
      </c>
      <c r="E180" s="28">
        <v>4883855717</v>
      </c>
      <c r="F180" s="29">
        <v>8373310535</v>
      </c>
      <c r="G180" s="28">
        <v>11167373773</v>
      </c>
      <c r="H180" s="29">
        <v>13034215756</v>
      </c>
      <c r="I180" s="28">
        <v>24891973556</v>
      </c>
      <c r="J180" s="31">
        <v>22155095746</v>
      </c>
    </row>
    <row r="181" spans="2:10">
      <c r="B181" s="30" t="s">
        <v>57</v>
      </c>
      <c r="C181" s="28">
        <v>142190000</v>
      </c>
      <c r="D181" s="29">
        <v>136448000</v>
      </c>
      <c r="E181" s="28">
        <v>131815680</v>
      </c>
      <c r="F181" s="29">
        <v>987110643</v>
      </c>
      <c r="G181" s="28">
        <v>1173734890</v>
      </c>
      <c r="H181" s="29">
        <v>1975713947</v>
      </c>
      <c r="I181" s="28">
        <v>2633801425</v>
      </c>
      <c r="J181" s="31">
        <v>3256421994</v>
      </c>
    </row>
    <row r="182" spans="2:10">
      <c r="B182" s="95" t="s">
        <v>58</v>
      </c>
      <c r="C182" s="58">
        <f>SUM(C176:C181)</f>
        <v>14974419000</v>
      </c>
      <c r="D182" s="58">
        <f>SUM(D176:D181)</f>
        <v>16824884000</v>
      </c>
      <c r="E182" s="58">
        <f>SUM(E176:E181)</f>
        <v>20141360790</v>
      </c>
      <c r="F182" s="58">
        <f t="shared" ref="F182:J182" si="25">SUM(F176:F181)</f>
        <v>26180823698</v>
      </c>
      <c r="G182" s="58">
        <f t="shared" si="25"/>
        <v>31023128807</v>
      </c>
      <c r="H182" s="58">
        <f>SUM(H176:H181)</f>
        <v>33280267652</v>
      </c>
      <c r="I182" s="58">
        <f t="shared" si="25"/>
        <v>56856091689</v>
      </c>
      <c r="J182" s="58">
        <f t="shared" si="25"/>
        <v>52662176163</v>
      </c>
    </row>
    <row r="183" spans="2:10">
      <c r="B183" s="89" t="s">
        <v>9</v>
      </c>
      <c r="C183" s="28"/>
      <c r="D183" s="29"/>
      <c r="E183" s="28"/>
      <c r="F183" s="29"/>
      <c r="G183" s="28"/>
      <c r="H183" s="29"/>
      <c r="I183" s="28"/>
      <c r="J183" s="31"/>
    </row>
    <row r="184" spans="2:10">
      <c r="B184" s="88" t="s">
        <v>44</v>
      </c>
      <c r="C184" s="28">
        <v>319825000</v>
      </c>
      <c r="D184" s="29">
        <v>376119000</v>
      </c>
      <c r="E184" s="28">
        <v>327684142</v>
      </c>
      <c r="F184" s="29">
        <v>416424150</v>
      </c>
      <c r="G184" s="28">
        <v>180131603</v>
      </c>
      <c r="H184" s="29">
        <v>842405822</v>
      </c>
      <c r="I184" s="28">
        <v>958052566</v>
      </c>
      <c r="J184" s="31">
        <v>1049688996</v>
      </c>
    </row>
    <row r="185" spans="2:10">
      <c r="B185" s="88" t="s">
        <v>11</v>
      </c>
      <c r="C185" s="28">
        <v>2825943000</v>
      </c>
      <c r="D185" s="29">
        <v>3099496000</v>
      </c>
      <c r="E185" s="28">
        <v>3455511680</v>
      </c>
      <c r="F185" s="29">
        <v>3318464058</v>
      </c>
      <c r="G185" s="28">
        <v>3593205053</v>
      </c>
      <c r="H185" s="29">
        <v>4295998004</v>
      </c>
      <c r="I185" s="28">
        <v>3904742902</v>
      </c>
      <c r="J185" s="31">
        <v>4339424927</v>
      </c>
    </row>
    <row r="186" spans="2:10">
      <c r="B186" s="88" t="s">
        <v>12</v>
      </c>
      <c r="C186" s="28">
        <v>9574501000</v>
      </c>
      <c r="D186" s="29">
        <v>12021625000</v>
      </c>
      <c r="E186" s="28">
        <v>14746337952</v>
      </c>
      <c r="F186" s="29">
        <v>16134516743</v>
      </c>
      <c r="G186" s="28">
        <v>18191058076</v>
      </c>
      <c r="H186" s="29">
        <v>21611536437</v>
      </c>
      <c r="I186" s="28">
        <v>16769204878</v>
      </c>
      <c r="J186" s="31">
        <v>25220623215</v>
      </c>
    </row>
    <row r="187" spans="2:10">
      <c r="B187" s="88" t="s">
        <v>13</v>
      </c>
      <c r="C187" s="28">
        <v>7878084000</v>
      </c>
      <c r="D187" s="29">
        <v>7029282000</v>
      </c>
      <c r="E187" s="28">
        <v>4990219998</v>
      </c>
      <c r="F187" s="29">
        <v>4143958221</v>
      </c>
      <c r="G187" s="28">
        <v>5699165581</v>
      </c>
      <c r="H187" s="29">
        <v>6805636259</v>
      </c>
      <c r="I187" s="28">
        <v>16857544696</v>
      </c>
      <c r="J187" s="31">
        <v>22421596092</v>
      </c>
    </row>
    <row r="188" spans="2:10">
      <c r="B188" s="30" t="s">
        <v>56</v>
      </c>
      <c r="C188" s="28"/>
      <c r="D188" s="29"/>
      <c r="E188" s="28"/>
      <c r="F188" s="29"/>
      <c r="G188" s="28"/>
      <c r="H188" s="29"/>
      <c r="I188" s="28"/>
      <c r="J188" s="31">
        <v>224818000</v>
      </c>
    </row>
    <row r="189" spans="2:10">
      <c r="B189" s="89" t="s">
        <v>14</v>
      </c>
      <c r="C189" s="58">
        <f>SUM(C184:C188)</f>
        <v>20598353000</v>
      </c>
      <c r="D189" s="58">
        <f>SUM(D184:D188)</f>
        <v>22526522000</v>
      </c>
      <c r="E189" s="58">
        <f t="shared" ref="E189:J189" si="26">SUM(E184:E188)</f>
        <v>23519753772</v>
      </c>
      <c r="F189" s="58">
        <f t="shared" si="26"/>
        <v>24013363172</v>
      </c>
      <c r="G189" s="58">
        <f t="shared" si="26"/>
        <v>27663560313</v>
      </c>
      <c r="H189" s="58">
        <f t="shared" si="26"/>
        <v>33555576522</v>
      </c>
      <c r="I189" s="58">
        <f t="shared" si="26"/>
        <v>38489545042</v>
      </c>
      <c r="J189" s="58">
        <f t="shared" si="26"/>
        <v>53256151230</v>
      </c>
    </row>
    <row r="190" spans="2:10">
      <c r="B190" s="90" t="s">
        <v>41</v>
      </c>
      <c r="C190" s="69">
        <f>SUM(C182:C188)</f>
        <v>35572772000</v>
      </c>
      <c r="D190" s="69">
        <f t="shared" ref="D190:I190" si="27">SUM(D182:D188)</f>
        <v>39351406000</v>
      </c>
      <c r="E190" s="69">
        <f>SUM(E182:E188)</f>
        <v>43661114562</v>
      </c>
      <c r="F190" s="69">
        <f t="shared" si="27"/>
        <v>50194186870</v>
      </c>
      <c r="G190" s="69">
        <f t="shared" si="27"/>
        <v>58686689120</v>
      </c>
      <c r="H190" s="69">
        <f t="shared" si="27"/>
        <v>66835844174</v>
      </c>
      <c r="I190" s="69">
        <f t="shared" si="27"/>
        <v>95345636731</v>
      </c>
      <c r="J190" s="69">
        <v>105918327392</v>
      </c>
    </row>
    <row r="191" spans="2:10">
      <c r="B191" s="43" t="s">
        <v>26</v>
      </c>
      <c r="C191" s="28"/>
      <c r="D191" s="29"/>
      <c r="E191" s="28"/>
      <c r="F191" s="29"/>
      <c r="G191" s="28"/>
      <c r="H191" s="29"/>
      <c r="I191" s="28"/>
      <c r="J191" s="31"/>
    </row>
    <row r="192" spans="2:10">
      <c r="B192" s="21" t="s">
        <v>15</v>
      </c>
      <c r="C192" s="28">
        <v>15000000000</v>
      </c>
      <c r="D192" s="28">
        <v>15000000000</v>
      </c>
      <c r="E192" s="28">
        <v>15000000000</v>
      </c>
      <c r="F192" s="28">
        <v>15000000000</v>
      </c>
      <c r="G192" s="28">
        <v>15000000000</v>
      </c>
      <c r="H192" s="29">
        <v>15000000000</v>
      </c>
      <c r="I192" s="28">
        <v>15000000000</v>
      </c>
      <c r="J192" s="31">
        <v>15000000000</v>
      </c>
    </row>
    <row r="193" spans="1:12">
      <c r="B193" s="21" t="s">
        <v>16</v>
      </c>
      <c r="C193" s="28">
        <v>5825855000</v>
      </c>
      <c r="D193" s="29">
        <v>8686027000</v>
      </c>
      <c r="E193" s="28">
        <v>11794280845</v>
      </c>
      <c r="F193" s="29">
        <v>20179747445</v>
      </c>
      <c r="G193" s="28">
        <v>26629021574</v>
      </c>
      <c r="H193" s="29">
        <v>32819733327</v>
      </c>
      <c r="I193" s="28">
        <v>30296455752</v>
      </c>
      <c r="J193" s="31">
        <v>34474560053</v>
      </c>
    </row>
    <row r="194" spans="1:12">
      <c r="B194" s="21" t="s">
        <v>75</v>
      </c>
      <c r="C194" s="28">
        <v>24239000</v>
      </c>
      <c r="D194" s="29"/>
      <c r="E194" s="28">
        <v>1191680000</v>
      </c>
      <c r="F194" s="29">
        <v>3495726321</v>
      </c>
      <c r="G194" s="28">
        <v>4651604502</v>
      </c>
      <c r="H194" s="29">
        <v>5553967562</v>
      </c>
      <c r="I194" s="28">
        <v>26997016658</v>
      </c>
      <c r="J194" s="31">
        <v>25598558814</v>
      </c>
    </row>
    <row r="195" spans="1:12">
      <c r="B195" s="43" t="s">
        <v>45</v>
      </c>
      <c r="C195" s="28"/>
      <c r="D195" s="29"/>
      <c r="E195" s="28"/>
      <c r="F195" s="29"/>
      <c r="G195" s="28"/>
      <c r="H195" s="29"/>
      <c r="I195" s="28"/>
      <c r="J195" s="31"/>
    </row>
    <row r="196" spans="1:12">
      <c r="B196" s="21" t="s">
        <v>17</v>
      </c>
      <c r="C196" s="28">
        <v>3858484000</v>
      </c>
      <c r="D196" s="29">
        <v>4475753000</v>
      </c>
      <c r="E196" s="28">
        <v>5712295482</v>
      </c>
      <c r="F196" s="29">
        <v>6478044962</v>
      </c>
      <c r="G196" s="28">
        <v>6718054667</v>
      </c>
      <c r="H196" s="29">
        <v>6929335416</v>
      </c>
      <c r="I196" s="28">
        <v>7858019367</v>
      </c>
      <c r="J196" s="31">
        <v>10757853131</v>
      </c>
    </row>
    <row r="197" spans="1:12">
      <c r="B197" s="21" t="s">
        <v>18</v>
      </c>
      <c r="C197" s="28">
        <v>10864194000</v>
      </c>
      <c r="D197" s="29">
        <v>11189626000</v>
      </c>
      <c r="E197" s="28">
        <v>9962858235</v>
      </c>
      <c r="F197" s="29">
        <v>5040668142</v>
      </c>
      <c r="G197" s="28">
        <v>5688008377</v>
      </c>
      <c r="H197" s="29">
        <v>6532807869</v>
      </c>
      <c r="I197" s="28">
        <v>15194144954</v>
      </c>
      <c r="J197" s="31">
        <v>20087355394</v>
      </c>
    </row>
    <row r="198" spans="1:12">
      <c r="B198" s="43" t="s">
        <v>24</v>
      </c>
      <c r="C198" s="58">
        <f>SUM(C195:C197)</f>
        <v>14722678000</v>
      </c>
      <c r="D198" s="58">
        <f t="shared" ref="D198:J198" si="28">SUM(D195:D197)</f>
        <v>15665379000</v>
      </c>
      <c r="E198" s="58">
        <f>SUM(E192:E197)</f>
        <v>43661114562</v>
      </c>
      <c r="F198" s="58">
        <f t="shared" si="28"/>
        <v>11518713104</v>
      </c>
      <c r="G198" s="58">
        <f t="shared" si="28"/>
        <v>12406063044</v>
      </c>
      <c r="H198" s="58">
        <f t="shared" si="28"/>
        <v>13462143285</v>
      </c>
      <c r="I198" s="58">
        <f t="shared" si="28"/>
        <v>23052164321</v>
      </c>
      <c r="J198" s="58">
        <f t="shared" si="28"/>
        <v>30845208525</v>
      </c>
    </row>
    <row r="199" spans="1:12">
      <c r="B199" s="91" t="s">
        <v>28</v>
      </c>
      <c r="C199" s="69">
        <f>SUM(C192:C197)</f>
        <v>35572772000</v>
      </c>
      <c r="D199" s="69">
        <f>SUM(D192:D197)</f>
        <v>39351406000</v>
      </c>
      <c r="E199" s="69">
        <f>SUM(E192:E197)</f>
        <v>43661114562</v>
      </c>
      <c r="F199" s="69">
        <f t="shared" ref="F199:J199" si="29">SUM(F192:F197)</f>
        <v>50194186870</v>
      </c>
      <c r="G199" s="69">
        <f t="shared" si="29"/>
        <v>58686689120</v>
      </c>
      <c r="H199" s="69">
        <f t="shared" si="29"/>
        <v>66835844174</v>
      </c>
      <c r="I199" s="69">
        <f t="shared" si="29"/>
        <v>95345636731</v>
      </c>
      <c r="J199" s="69">
        <f t="shared" si="29"/>
        <v>105918327392</v>
      </c>
    </row>
    <row r="200" spans="1:12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</row>
    <row r="201" spans="1:12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</row>
    <row r="202" spans="1:1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>
        <f t="shared" ref="K202" si="30">SUM(K194:K197)</f>
        <v>0</v>
      </c>
      <c r="L202" s="73"/>
    </row>
    <row r="203" spans="1:12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</row>
  </sheetData>
  <mergeCells count="13">
    <mergeCell ref="C1:F1"/>
    <mergeCell ref="B171:J172"/>
    <mergeCell ref="B173:J173"/>
    <mergeCell ref="B2:K3"/>
    <mergeCell ref="B35:J36"/>
    <mergeCell ref="B37:J37"/>
    <mergeCell ref="B137:J138"/>
    <mergeCell ref="B139:J139"/>
    <mergeCell ref="B103:J104"/>
    <mergeCell ref="B105:J105"/>
    <mergeCell ref="B69:J70"/>
    <mergeCell ref="B71:J71"/>
    <mergeCell ref="B4:J4"/>
  </mergeCells>
  <pageMargins left="0.7" right="0.7" top="0.75" bottom="0.75" header="0.3" footer="0.3"/>
  <pageSetup orientation="landscape" r:id="rId1"/>
  <ignoredErrors>
    <ignoredError sqref="C198 F198:J198" formulaRange="1"/>
    <ignoredError sqref="E19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S262"/>
  <sheetViews>
    <sheetView topLeftCell="AF1" workbookViewId="0">
      <selection activeCell="AC4" sqref="AC4"/>
    </sheetView>
  </sheetViews>
  <sheetFormatPr defaultRowHeight="15"/>
  <cols>
    <col min="1" max="1" width="3.42578125" customWidth="1"/>
    <col min="2" max="2" width="9" customWidth="1"/>
    <col min="3" max="3" width="17" customWidth="1"/>
    <col min="4" max="4" width="17.7109375" customWidth="1"/>
    <col min="5" max="5" width="8.28515625" customWidth="1"/>
    <col min="6" max="6" width="9.7109375" customWidth="1"/>
    <col min="7" max="7" width="9.140625" customWidth="1"/>
    <col min="8" max="8" width="15.28515625" customWidth="1"/>
    <col min="9" max="9" width="5.140625" customWidth="1"/>
    <col min="10" max="10" width="4.85546875" customWidth="1"/>
    <col min="11" max="11" width="9" customWidth="1"/>
    <col min="12" max="12" width="19.7109375" customWidth="1"/>
    <col min="13" max="13" width="18.42578125" customWidth="1"/>
    <col min="14" max="15" width="8" customWidth="1"/>
    <col min="16" max="16" width="7.7109375" customWidth="1"/>
    <col min="18" max="18" width="7.7109375" customWidth="1"/>
    <col min="20" max="20" width="17.85546875" customWidth="1"/>
    <col min="21" max="21" width="15.85546875" customWidth="1"/>
    <col min="22" max="22" width="8.140625" customWidth="1"/>
    <col min="23" max="23" width="8.7109375" customWidth="1"/>
    <col min="24" max="24" width="7.85546875" customWidth="1"/>
    <col min="26" max="26" width="4.5703125" customWidth="1"/>
    <col min="27" max="27" width="7.140625" hidden="1" customWidth="1"/>
    <col min="28" max="28" width="9.28515625" customWidth="1"/>
    <col min="29" max="29" width="16.140625" customWidth="1"/>
    <col min="30" max="30" width="15.7109375" customWidth="1"/>
    <col min="31" max="31" width="13.140625" customWidth="1"/>
    <col min="32" max="32" width="10" customWidth="1"/>
    <col min="33" max="34" width="7" customWidth="1"/>
    <col min="35" max="35" width="12.42578125" customWidth="1"/>
    <col min="36" max="36" width="11.140625" customWidth="1"/>
    <col min="37" max="37" width="6.7109375" customWidth="1"/>
    <col min="38" max="38" width="7.140625" customWidth="1"/>
    <col min="39" max="39" width="7" customWidth="1"/>
    <col min="40" max="40" width="6.5703125" customWidth="1"/>
    <col min="41" max="41" width="6.7109375" customWidth="1"/>
    <col min="42" max="42" width="6.42578125" customWidth="1"/>
    <col min="43" max="43" width="6.7109375" customWidth="1"/>
    <col min="44" max="44" width="7.28515625" customWidth="1"/>
    <col min="45" max="45" width="6.85546875" customWidth="1"/>
  </cols>
  <sheetData>
    <row r="1" spans="1:45">
      <c r="H1" s="73"/>
      <c r="I1" s="73"/>
      <c r="J1" s="73"/>
      <c r="K1" s="73"/>
    </row>
    <row r="2" spans="1:45">
      <c r="B2" s="73"/>
      <c r="C2" s="73"/>
      <c r="D2" s="73"/>
      <c r="E2" s="73"/>
      <c r="F2" s="73"/>
      <c r="G2" s="73"/>
      <c r="H2" s="73"/>
      <c r="I2" s="73"/>
      <c r="J2" s="73"/>
      <c r="K2" s="73"/>
      <c r="AA2" s="73"/>
    </row>
    <row r="3" spans="1:45" ht="18.75">
      <c r="B3" s="165" t="s">
        <v>60</v>
      </c>
      <c r="C3" s="166"/>
      <c r="D3" s="166"/>
      <c r="E3" s="166"/>
      <c r="F3" s="166"/>
      <c r="G3" s="167"/>
      <c r="H3" s="73"/>
      <c r="I3" s="106"/>
      <c r="J3" s="106"/>
      <c r="K3" s="157" t="s">
        <v>72</v>
      </c>
      <c r="L3" s="157"/>
      <c r="M3" s="157"/>
      <c r="N3" s="157"/>
      <c r="O3" s="157"/>
      <c r="P3" s="157"/>
      <c r="S3" s="157" t="s">
        <v>76</v>
      </c>
      <c r="T3" s="157"/>
      <c r="U3" s="157"/>
      <c r="V3" s="157"/>
      <c r="W3" s="157"/>
      <c r="X3" s="157"/>
      <c r="AA3" s="73"/>
      <c r="AB3" s="165" t="s">
        <v>88</v>
      </c>
      <c r="AC3" s="179"/>
      <c r="AD3" s="179"/>
      <c r="AE3" s="179"/>
      <c r="AF3" s="179"/>
      <c r="AG3" s="179"/>
      <c r="AH3" s="180"/>
      <c r="AJ3" s="184" t="s">
        <v>107</v>
      </c>
      <c r="AK3" s="184"/>
      <c r="AL3" s="184"/>
      <c r="AM3" s="184"/>
      <c r="AN3" s="184"/>
      <c r="AO3" s="184"/>
      <c r="AP3" s="184"/>
      <c r="AQ3" s="184"/>
      <c r="AR3" s="184"/>
      <c r="AS3" s="184"/>
    </row>
    <row r="4" spans="1:45" ht="15.75" customHeight="1">
      <c r="A4" s="73"/>
      <c r="B4" s="73"/>
      <c r="C4" s="73"/>
      <c r="D4" s="73"/>
      <c r="E4" s="73"/>
      <c r="F4" s="73"/>
      <c r="G4" s="73"/>
      <c r="H4" s="73"/>
      <c r="I4" s="73"/>
      <c r="J4" s="106"/>
      <c r="K4" s="106"/>
      <c r="L4" s="106"/>
      <c r="M4" s="106"/>
      <c r="N4" s="106"/>
      <c r="O4" s="106"/>
      <c r="P4" s="73"/>
      <c r="AA4" s="73"/>
      <c r="AJ4" s="157" t="s">
        <v>117</v>
      </c>
      <c r="AK4" s="157" t="s">
        <v>116</v>
      </c>
      <c r="AL4" s="158"/>
      <c r="AM4" s="158"/>
      <c r="AN4" s="158"/>
      <c r="AO4" s="158"/>
      <c r="AP4" s="158"/>
      <c r="AQ4" s="158"/>
      <c r="AR4" s="158"/>
      <c r="AS4" s="158"/>
    </row>
    <row r="5" spans="1:45" ht="15" customHeight="1" thickBot="1">
      <c r="B5" s="165" t="s">
        <v>0</v>
      </c>
      <c r="C5" s="166"/>
      <c r="D5" s="166"/>
      <c r="E5" s="166"/>
      <c r="F5" s="166"/>
      <c r="G5" s="167"/>
      <c r="H5" s="73"/>
      <c r="I5" s="73"/>
      <c r="J5" s="106"/>
      <c r="K5" s="165" t="s">
        <v>0</v>
      </c>
      <c r="L5" s="166"/>
      <c r="M5" s="166"/>
      <c r="N5" s="166"/>
      <c r="O5" s="166"/>
      <c r="P5" s="167"/>
      <c r="S5" s="165" t="s">
        <v>0</v>
      </c>
      <c r="T5" s="166"/>
      <c r="U5" s="166"/>
      <c r="V5" s="166"/>
      <c r="W5" s="166"/>
      <c r="X5" s="167"/>
      <c r="AA5" s="73"/>
      <c r="AB5" s="165" t="s">
        <v>0</v>
      </c>
      <c r="AC5" s="166"/>
      <c r="AD5" s="166"/>
      <c r="AE5" s="166"/>
      <c r="AF5" s="166"/>
      <c r="AG5" s="166"/>
      <c r="AH5" s="167"/>
      <c r="AJ5" s="157"/>
      <c r="AK5" s="127" t="s">
        <v>108</v>
      </c>
      <c r="AL5" s="127" t="s">
        <v>109</v>
      </c>
      <c r="AM5" s="127" t="s">
        <v>110</v>
      </c>
      <c r="AN5" s="127" t="s">
        <v>111</v>
      </c>
      <c r="AO5" s="127" t="s">
        <v>112</v>
      </c>
      <c r="AP5" s="127" t="s">
        <v>113</v>
      </c>
      <c r="AQ5" s="127" t="s">
        <v>114</v>
      </c>
      <c r="AR5" s="129" t="s">
        <v>115</v>
      </c>
      <c r="AS5" s="135" t="s">
        <v>119</v>
      </c>
    </row>
    <row r="6" spans="1:45" ht="15" customHeight="1">
      <c r="B6" s="96" t="s">
        <v>67</v>
      </c>
      <c r="C6" s="96" t="s">
        <v>61</v>
      </c>
      <c r="D6" s="96" t="s">
        <v>62</v>
      </c>
      <c r="E6" s="96" t="s">
        <v>63</v>
      </c>
      <c r="F6" s="96" t="s">
        <v>64</v>
      </c>
      <c r="G6" s="96" t="s">
        <v>65</v>
      </c>
      <c r="H6" s="73"/>
      <c r="I6" s="73"/>
      <c r="J6" s="106"/>
      <c r="K6" s="96" t="s">
        <v>67</v>
      </c>
      <c r="L6" s="96" t="s">
        <v>74</v>
      </c>
      <c r="M6" s="96" t="s">
        <v>62</v>
      </c>
      <c r="N6" s="96" t="s">
        <v>63</v>
      </c>
      <c r="O6" s="96" t="s">
        <v>64</v>
      </c>
      <c r="P6" s="96" t="s">
        <v>65</v>
      </c>
      <c r="S6" s="96" t="s">
        <v>67</v>
      </c>
      <c r="T6" s="96" t="s">
        <v>77</v>
      </c>
      <c r="U6" s="96" t="s">
        <v>62</v>
      </c>
      <c r="V6" s="96" t="s">
        <v>63</v>
      </c>
      <c r="W6" s="96" t="s">
        <v>64</v>
      </c>
      <c r="X6" s="96" t="s">
        <v>65</v>
      </c>
      <c r="AA6" s="73"/>
      <c r="AB6" s="96" t="s">
        <v>67</v>
      </c>
      <c r="AC6" s="96" t="s">
        <v>84</v>
      </c>
      <c r="AD6" s="96" t="s">
        <v>85</v>
      </c>
      <c r="AE6" s="96" t="s">
        <v>86</v>
      </c>
      <c r="AF6" s="96" t="s">
        <v>87</v>
      </c>
      <c r="AG6" s="96" t="s">
        <v>64</v>
      </c>
      <c r="AH6" s="118" t="s">
        <v>65</v>
      </c>
      <c r="AJ6" s="135" t="s">
        <v>108</v>
      </c>
      <c r="AK6" s="141">
        <v>1</v>
      </c>
      <c r="AL6" s="142"/>
      <c r="AM6" s="142"/>
      <c r="AN6" s="142"/>
      <c r="AO6" s="142"/>
      <c r="AP6" s="142"/>
      <c r="AQ6" s="142"/>
      <c r="AR6" s="143"/>
      <c r="AS6" s="142"/>
    </row>
    <row r="7" spans="1:45" ht="15.75">
      <c r="B7" s="96">
        <v>2005</v>
      </c>
      <c r="C7" s="102">
        <v>1610139194</v>
      </c>
      <c r="D7" s="108">
        <v>3587774568</v>
      </c>
      <c r="E7" s="102">
        <f>C7/D7</f>
        <v>0.44878493993494412</v>
      </c>
      <c r="F7" s="172">
        <f>SUM(E7:E14)/8</f>
        <v>0.49150662282697222</v>
      </c>
      <c r="G7" s="172">
        <f>STDEV(E7,E8,E9,E10,E11,E12,E13,E14)</f>
        <v>2.7328417719101099E-2</v>
      </c>
      <c r="H7" s="73"/>
      <c r="I7" s="73"/>
      <c r="J7" s="106"/>
      <c r="K7" s="96">
        <v>2005</v>
      </c>
      <c r="L7" s="101">
        <v>362889233</v>
      </c>
      <c r="M7" s="108">
        <v>3587774568</v>
      </c>
      <c r="N7" s="102">
        <f>L7/M7</f>
        <v>0.10114605199464695</v>
      </c>
      <c r="O7" s="172">
        <f>SUM(N7:N14)/8</f>
        <v>9.7811034899290134E-2</v>
      </c>
      <c r="P7" s="172">
        <f>STDEV(N7,N8,N9,N10,N11,N12,N13,N14)</f>
        <v>1.4474810798682129E-2</v>
      </c>
      <c r="S7" s="96">
        <v>2005</v>
      </c>
      <c r="T7" s="101">
        <v>1247249961</v>
      </c>
      <c r="U7" s="108">
        <v>3587774568</v>
      </c>
      <c r="V7" s="102">
        <f>T7/U7</f>
        <v>0.34763888794029713</v>
      </c>
      <c r="W7" s="172">
        <f>SUM(V7:V14)/8</f>
        <v>0.39369558792768206</v>
      </c>
      <c r="X7" s="172">
        <f>STDEV(V7,V8,V9,V10,V11,V12,V13,V14)</f>
        <v>3.2646098258205615E-2</v>
      </c>
      <c r="AA7" s="73"/>
      <c r="AB7" s="96">
        <v>2005</v>
      </c>
      <c r="AC7" s="102">
        <v>3587774568</v>
      </c>
      <c r="AD7" s="102">
        <v>2161701210</v>
      </c>
      <c r="AE7" s="102">
        <f>SUM(AC7-AD7)</f>
        <v>1426073358</v>
      </c>
      <c r="AF7" s="102">
        <f>AE7/AD7*100</f>
        <v>65.96995696736461</v>
      </c>
      <c r="AG7" s="172">
        <f>SUM(AF7:AF14)/8</f>
        <v>12.15956754742934</v>
      </c>
      <c r="AH7" s="181">
        <f>STDEV(AF7,AF8,AF9,AF10,AF11,AF12,AF13,AF14)</f>
        <v>23.023177449008518</v>
      </c>
      <c r="AJ7" s="135" t="s">
        <v>109</v>
      </c>
      <c r="AK7" s="141">
        <f>CORREL(AK20:AK25,AL20:AL25)</f>
        <v>-0.33273207173117153</v>
      </c>
      <c r="AL7" s="142">
        <v>1</v>
      </c>
      <c r="AM7" s="142"/>
      <c r="AN7" s="142"/>
      <c r="AO7" s="142"/>
      <c r="AP7" s="142"/>
      <c r="AQ7" s="142"/>
      <c r="AR7" s="143"/>
      <c r="AS7" s="142"/>
    </row>
    <row r="8" spans="1:45" ht="15.75">
      <c r="B8" s="96">
        <v>2006</v>
      </c>
      <c r="C8" s="102">
        <v>1769027013</v>
      </c>
      <c r="D8" s="109">
        <v>3719540043</v>
      </c>
      <c r="E8" s="102">
        <f t="shared" ref="E8:E13" si="0">C8/D8</f>
        <v>0.47560370168059513</v>
      </c>
      <c r="F8" s="173"/>
      <c r="G8" s="173"/>
      <c r="H8" s="73"/>
      <c r="I8" s="73"/>
      <c r="J8" s="106"/>
      <c r="K8" s="96">
        <v>2006</v>
      </c>
      <c r="L8" s="101">
        <v>305668706</v>
      </c>
      <c r="M8" s="109">
        <v>3719540043</v>
      </c>
      <c r="N8" s="102">
        <f t="shared" ref="N8:N13" si="1">L8/M8</f>
        <v>8.2179167979453308E-2</v>
      </c>
      <c r="O8" s="173"/>
      <c r="P8" s="173"/>
      <c r="S8" s="96">
        <v>2006</v>
      </c>
      <c r="T8" s="101">
        <v>1463358307</v>
      </c>
      <c r="U8" s="109">
        <v>3719540043</v>
      </c>
      <c r="V8" s="102">
        <f t="shared" ref="V8:V14" si="2">T8/U8</f>
        <v>0.39342453370114183</v>
      </c>
      <c r="W8" s="173"/>
      <c r="X8" s="173"/>
      <c r="AA8" s="73"/>
      <c r="AB8" s="96">
        <v>2006</v>
      </c>
      <c r="AC8" s="102">
        <v>3719540043</v>
      </c>
      <c r="AD8" s="102">
        <v>3587774568</v>
      </c>
      <c r="AE8" s="102">
        <f t="shared" ref="AE8:AE14" si="3">SUM(AC8-AD8)</f>
        <v>131765475</v>
      </c>
      <c r="AF8" s="102">
        <f>AE8/AD8*100</f>
        <v>3.6726241435356535</v>
      </c>
      <c r="AG8" s="173"/>
      <c r="AH8" s="182"/>
      <c r="AJ8" s="135" t="s">
        <v>110</v>
      </c>
      <c r="AK8" s="141">
        <f>CORREL(AK20:AK25,AM20:AM25)</f>
        <v>0.97844830139101213</v>
      </c>
      <c r="AL8" s="142">
        <f>CORREL(AL20:AL25,AM20:AM25)</f>
        <v>-0.52028745008400556</v>
      </c>
      <c r="AM8" s="142">
        <v>1</v>
      </c>
      <c r="AN8" s="142"/>
      <c r="AO8" s="142"/>
      <c r="AP8" s="142"/>
      <c r="AQ8" s="142"/>
      <c r="AR8" s="143"/>
      <c r="AS8" s="142"/>
    </row>
    <row r="9" spans="1:45" ht="15.75">
      <c r="B9" s="96">
        <v>2007</v>
      </c>
      <c r="C9" s="102">
        <v>1793376384</v>
      </c>
      <c r="D9" s="1">
        <v>3638465580</v>
      </c>
      <c r="E9" s="102">
        <f t="shared" si="0"/>
        <v>0.49289359609662708</v>
      </c>
      <c r="F9" s="173"/>
      <c r="G9" s="173"/>
      <c r="H9" s="73"/>
      <c r="I9" s="73"/>
      <c r="J9" s="106"/>
      <c r="K9" s="96">
        <v>2007</v>
      </c>
      <c r="L9" s="101">
        <v>416532694</v>
      </c>
      <c r="M9" s="1">
        <v>3638465580</v>
      </c>
      <c r="N9" s="102">
        <f t="shared" si="1"/>
        <v>0.11448031727704293</v>
      </c>
      <c r="O9" s="173"/>
      <c r="P9" s="173"/>
      <c r="S9" s="96">
        <v>2007</v>
      </c>
      <c r="T9" s="101">
        <v>1376843690</v>
      </c>
      <c r="U9" s="1">
        <v>3638465580</v>
      </c>
      <c r="V9" s="102">
        <f t="shared" si="2"/>
        <v>0.37841327881958414</v>
      </c>
      <c r="W9" s="173"/>
      <c r="X9" s="173"/>
      <c r="AA9" s="73"/>
      <c r="AB9" s="96">
        <v>2007</v>
      </c>
      <c r="AC9" s="101">
        <v>3638465580</v>
      </c>
      <c r="AD9" s="102">
        <v>3719540043</v>
      </c>
      <c r="AE9" s="102">
        <f t="shared" si="3"/>
        <v>-81074463</v>
      </c>
      <c r="AF9" s="102">
        <f t="shared" ref="AF9:AF14" si="4">AE9/AD9*100</f>
        <v>-2.1796905548194951</v>
      </c>
      <c r="AG9" s="173"/>
      <c r="AH9" s="182"/>
      <c r="AJ9" s="135" t="s">
        <v>111</v>
      </c>
      <c r="AK9" s="144">
        <f>CORREL(AK20:AK25,AN20:AN25)</f>
        <v>-0.48162035188573726</v>
      </c>
      <c r="AL9" s="142">
        <f>CORREL(AL20:AL25,AN20:AN25)</f>
        <v>0.68149491770361137</v>
      </c>
      <c r="AM9" s="142">
        <f>CORREL(AM20:AM25,AN20:AN25)</f>
        <v>-0.58537669220114497</v>
      </c>
      <c r="AN9" s="142">
        <v>1</v>
      </c>
      <c r="AO9" s="142"/>
      <c r="AP9" s="142"/>
      <c r="AQ9" s="142"/>
      <c r="AR9" s="143"/>
      <c r="AS9" s="142"/>
    </row>
    <row r="10" spans="1:45" ht="15.75">
      <c r="B10" s="96">
        <v>2008</v>
      </c>
      <c r="C10" s="102">
        <v>1761323387</v>
      </c>
      <c r="D10" s="109">
        <v>3622277182</v>
      </c>
      <c r="E10" s="102">
        <f t="shared" si="0"/>
        <v>0.48624754498425904</v>
      </c>
      <c r="F10" s="173"/>
      <c r="G10" s="173"/>
      <c r="H10" s="73"/>
      <c r="I10" s="73"/>
      <c r="J10" s="106"/>
      <c r="K10" s="96">
        <v>2008</v>
      </c>
      <c r="L10" s="101">
        <v>437625683</v>
      </c>
      <c r="M10" s="109">
        <v>3622277182</v>
      </c>
      <c r="N10" s="102">
        <f t="shared" si="1"/>
        <v>0.12081507322925791</v>
      </c>
      <c r="O10" s="173"/>
      <c r="P10" s="173"/>
      <c r="S10" s="96">
        <v>2008</v>
      </c>
      <c r="T10" s="101">
        <v>1323697704</v>
      </c>
      <c r="U10" s="109">
        <v>3622277182</v>
      </c>
      <c r="V10" s="102">
        <f t="shared" si="2"/>
        <v>0.3654324717550011</v>
      </c>
      <c r="W10" s="173"/>
      <c r="X10" s="173"/>
      <c r="AA10" s="73"/>
      <c r="AB10" s="96">
        <v>2008</v>
      </c>
      <c r="AC10" s="102">
        <v>3622277182</v>
      </c>
      <c r="AD10" s="101">
        <v>3638465580</v>
      </c>
      <c r="AE10" s="102">
        <f t="shared" si="3"/>
        <v>-16188398</v>
      </c>
      <c r="AF10" s="102">
        <f t="shared" si="4"/>
        <v>-0.44492376371470305</v>
      </c>
      <c r="AG10" s="173"/>
      <c r="AH10" s="182"/>
      <c r="AJ10" s="135" t="s">
        <v>112</v>
      </c>
      <c r="AK10" s="141">
        <f>CORREL(AK20:AK25,AO20:AO25)</f>
        <v>-0.83548938916655324</v>
      </c>
      <c r="AL10" s="142">
        <f>CORREL(AL20:AL25,AO20:AO25)</f>
        <v>0.57554274009075301</v>
      </c>
      <c r="AM10" s="142">
        <f>CORREL(AM20:AM25,AO20:AO25)</f>
        <v>-0.88263693651245057</v>
      </c>
      <c r="AN10" s="142">
        <f>CORREL(AN20:AN25,AO20:AO25)</f>
        <v>0.30406784074445209</v>
      </c>
      <c r="AO10" s="142">
        <v>1</v>
      </c>
      <c r="AP10" s="142"/>
      <c r="AQ10" s="142"/>
      <c r="AR10" s="143"/>
      <c r="AS10" s="142"/>
    </row>
    <row r="11" spans="1:45" ht="15.75">
      <c r="B11" s="96">
        <v>2009</v>
      </c>
      <c r="C11" s="102">
        <v>2254839091</v>
      </c>
      <c r="D11" s="110">
        <v>4272700112</v>
      </c>
      <c r="E11" s="102">
        <f t="shared" si="0"/>
        <v>0.5277316525602207</v>
      </c>
      <c r="F11" s="173"/>
      <c r="G11" s="173"/>
      <c r="H11" s="73"/>
      <c r="I11" s="73"/>
      <c r="J11" s="106"/>
      <c r="K11" s="96">
        <v>2009</v>
      </c>
      <c r="L11" s="101">
        <v>432886967</v>
      </c>
      <c r="M11" s="110">
        <v>4272700112</v>
      </c>
      <c r="N11" s="102">
        <f t="shared" si="1"/>
        <v>0.10131461503329584</v>
      </c>
      <c r="O11" s="173"/>
      <c r="P11" s="173"/>
      <c r="S11" s="96">
        <v>2009</v>
      </c>
      <c r="T11" s="101">
        <v>1821952124</v>
      </c>
      <c r="U11" s="110">
        <v>4272700112</v>
      </c>
      <c r="V11" s="102">
        <f t="shared" si="2"/>
        <v>0.42641703752692484</v>
      </c>
      <c r="W11" s="173"/>
      <c r="X11" s="173"/>
      <c r="AA11" s="73"/>
      <c r="AB11" s="96">
        <v>2009</v>
      </c>
      <c r="AC11" s="101">
        <v>4272700112</v>
      </c>
      <c r="AD11" s="102">
        <v>3622277182</v>
      </c>
      <c r="AE11" s="102">
        <f t="shared" si="3"/>
        <v>650422930</v>
      </c>
      <c r="AF11" s="102">
        <f t="shared" si="4"/>
        <v>17.956188809407355</v>
      </c>
      <c r="AG11" s="173"/>
      <c r="AH11" s="182"/>
      <c r="AJ11" s="135" t="s">
        <v>113</v>
      </c>
      <c r="AK11" s="141">
        <f>CORREL(AK20:AK25,AP20:AP25)</f>
        <v>-0.68866680574105321</v>
      </c>
      <c r="AL11" s="142">
        <f>CORREL(AL20:AL25,AP20:AP25)</f>
        <v>0.33660834757545793</v>
      </c>
      <c r="AM11" s="142">
        <f>CORREL(AM20:AM25,AQ20:AQ25)+CORREL(AM20:AM25,AP20:AP25)</f>
        <v>-0.69554794011218157</v>
      </c>
      <c r="AN11" s="142">
        <f>CORREL(AN20:AN25,AP20:AP25)</f>
        <v>0.84046369292766876</v>
      </c>
      <c r="AO11" s="142">
        <f>CORREL(AO20:AO25,AP20:AP25)</f>
        <v>0.36657344253591434</v>
      </c>
      <c r="AP11" s="142">
        <v>1</v>
      </c>
      <c r="AQ11" s="142"/>
      <c r="AR11" s="143"/>
      <c r="AS11" s="142"/>
    </row>
    <row r="12" spans="1:45" ht="15.75">
      <c r="B12" s="96">
        <v>2010</v>
      </c>
      <c r="C12" s="102">
        <v>2245889338</v>
      </c>
      <c r="D12" s="109">
        <v>4591627446</v>
      </c>
      <c r="E12" s="102">
        <f t="shared" si="0"/>
        <v>0.48912708280731887</v>
      </c>
      <c r="F12" s="173"/>
      <c r="G12" s="173"/>
      <c r="H12" s="73"/>
      <c r="I12" s="73"/>
      <c r="J12" s="106"/>
      <c r="K12" s="96">
        <v>2010</v>
      </c>
      <c r="L12" s="101">
        <v>430737324</v>
      </c>
      <c r="M12" s="109">
        <v>4591627446</v>
      </c>
      <c r="N12" s="102">
        <f t="shared" si="1"/>
        <v>9.3809292906644068E-2</v>
      </c>
      <c r="O12" s="173"/>
      <c r="P12" s="173"/>
      <c r="S12" s="96">
        <v>2010</v>
      </c>
      <c r="T12" s="101">
        <v>1815152014</v>
      </c>
      <c r="U12" s="109">
        <v>4591627446</v>
      </c>
      <c r="V12" s="102">
        <f t="shared" si="2"/>
        <v>0.39531778990067479</v>
      </c>
      <c r="W12" s="173"/>
      <c r="X12" s="173"/>
      <c r="AA12" s="73"/>
      <c r="AB12" s="96">
        <v>2010</v>
      </c>
      <c r="AC12" s="102">
        <v>4591627446</v>
      </c>
      <c r="AD12" s="101">
        <v>4272700112</v>
      </c>
      <c r="AE12" s="102">
        <f t="shared" si="3"/>
        <v>318927334</v>
      </c>
      <c r="AF12" s="102">
        <f t="shared" si="4"/>
        <v>7.4643042020263364</v>
      </c>
      <c r="AG12" s="173"/>
      <c r="AH12" s="182"/>
      <c r="AJ12" s="135" t="s">
        <v>114</v>
      </c>
      <c r="AK12" s="141">
        <f>CORREL(AK20:AK25,AQ20:AQ25)</f>
        <v>-2.7281453843197311E-2</v>
      </c>
      <c r="AL12" s="92">
        <f>CORREL(AL20:AL25,AQ20:AQ25)</f>
        <v>-0.12108864371795669</v>
      </c>
      <c r="AM12" s="92">
        <f>CORREL(AM20:AM25,AQ20:AQ25)</f>
        <v>1.8087686149173715E-3</v>
      </c>
      <c r="AN12" s="92">
        <f>CORREL(AN20:AN25,AQ20:AQ25)</f>
        <v>0.24860513571255446</v>
      </c>
      <c r="AO12" s="92">
        <f>CORREL(AO20:AO25,AQ20:AQ25)</f>
        <v>-0.3302304146891612</v>
      </c>
      <c r="AP12" s="92">
        <f>CORREL(AP20:AP25,AQ20:AQ25)</f>
        <v>7.7496768610265582E-2</v>
      </c>
      <c r="AQ12" s="92">
        <v>1</v>
      </c>
      <c r="AR12" s="145"/>
      <c r="AS12" s="92"/>
    </row>
    <row r="13" spans="1:45" ht="15.75">
      <c r="B13" s="96">
        <v>2011</v>
      </c>
      <c r="C13" s="102">
        <v>2434233669</v>
      </c>
      <c r="D13" s="109">
        <v>5077124120</v>
      </c>
      <c r="E13" s="102">
        <f t="shared" si="0"/>
        <v>0.47945128215616678</v>
      </c>
      <c r="F13" s="173"/>
      <c r="G13" s="173"/>
      <c r="H13" s="73"/>
      <c r="I13" s="97"/>
      <c r="J13" s="106"/>
      <c r="K13" s="96">
        <v>2011</v>
      </c>
      <c r="L13" s="101">
        <v>442085043</v>
      </c>
      <c r="M13" s="109">
        <v>5077124120</v>
      </c>
      <c r="N13" s="102">
        <f t="shared" si="1"/>
        <v>8.7073908880525852E-2</v>
      </c>
      <c r="O13" s="173"/>
      <c r="P13" s="173"/>
      <c r="S13" s="96">
        <v>2011</v>
      </c>
      <c r="T13" s="101">
        <v>1992148626</v>
      </c>
      <c r="U13" s="109">
        <v>5077124120</v>
      </c>
      <c r="V13" s="102">
        <f t="shared" si="2"/>
        <v>0.39237737327564093</v>
      </c>
      <c r="W13" s="173"/>
      <c r="X13" s="173"/>
      <c r="AA13" s="73"/>
      <c r="AB13" s="96">
        <v>2011</v>
      </c>
      <c r="AC13" s="102">
        <v>5077124120</v>
      </c>
      <c r="AD13" s="102">
        <v>4591627446</v>
      </c>
      <c r="AE13" s="102">
        <f t="shared" si="3"/>
        <v>485496674</v>
      </c>
      <c r="AF13" s="102">
        <f t="shared" si="4"/>
        <v>10.573520602655618</v>
      </c>
      <c r="AG13" s="173"/>
      <c r="AH13" s="182"/>
      <c r="AJ13" s="135" t="s">
        <v>115</v>
      </c>
      <c r="AK13" s="141">
        <f>CORREL(AK20:AK25,AR20:AR25)</f>
        <v>-0.90079654679892518</v>
      </c>
      <c r="AL13" s="142">
        <f>CORREL(AL20:AL25,AR20:AR25)</f>
        <v>0.19664634216748605</v>
      </c>
      <c r="AM13" s="142">
        <f>CORREL(AM20:AM25,AR20:AR25)</f>
        <v>-0.85881211718995298</v>
      </c>
      <c r="AN13" s="142">
        <f>CORREL(AN20:AN25,AR20:AR25)</f>
        <v>0.61329724183032652</v>
      </c>
      <c r="AO13" s="142">
        <f>CORREL(AO20:AO25,AR20:AR25)</f>
        <v>0.54861826695213467</v>
      </c>
      <c r="AP13" s="142">
        <f>CORREL(AP20:AP25,AR20:AR25)</f>
        <v>0.87690367412391013</v>
      </c>
      <c r="AQ13" s="142">
        <f>CORREL(AQ20:AQ25,AR20:AR25)</f>
        <v>0.1721077130818903</v>
      </c>
      <c r="AR13" s="142">
        <v>1</v>
      </c>
      <c r="AS13" s="142"/>
    </row>
    <row r="14" spans="1:45" ht="15.75">
      <c r="B14" s="96">
        <v>2012</v>
      </c>
      <c r="C14" s="102">
        <v>2547134350</v>
      </c>
      <c r="D14" s="109">
        <v>4785928711</v>
      </c>
      <c r="E14" s="102">
        <f>C14/D14</f>
        <v>0.53221318239564563</v>
      </c>
      <c r="F14" s="174"/>
      <c r="G14" s="174"/>
      <c r="H14" s="73"/>
      <c r="I14" s="97"/>
      <c r="J14" s="106"/>
      <c r="K14" s="96">
        <v>2012</v>
      </c>
      <c r="L14" s="101">
        <v>390866089</v>
      </c>
      <c r="M14" s="109">
        <v>4785928711</v>
      </c>
      <c r="N14" s="102">
        <f>L14/M14</f>
        <v>8.166985189345416E-2</v>
      </c>
      <c r="O14" s="174"/>
      <c r="P14" s="174"/>
      <c r="S14" s="96">
        <v>2012</v>
      </c>
      <c r="T14" s="101">
        <v>2156268261</v>
      </c>
      <c r="U14" s="109">
        <v>4785928711</v>
      </c>
      <c r="V14" s="102">
        <f t="shared" si="2"/>
        <v>0.45054333050219142</v>
      </c>
      <c r="W14" s="174"/>
      <c r="X14" s="174"/>
      <c r="AA14" s="73"/>
      <c r="AB14" s="96">
        <v>2012</v>
      </c>
      <c r="AC14" s="102">
        <v>4785928711</v>
      </c>
      <c r="AD14" s="102">
        <v>5077124120</v>
      </c>
      <c r="AE14" s="102">
        <f t="shared" si="3"/>
        <v>-291195409</v>
      </c>
      <c r="AF14" s="102">
        <f t="shared" si="4"/>
        <v>-5.7354400270206511</v>
      </c>
      <c r="AG14" s="174"/>
      <c r="AH14" s="183"/>
      <c r="AJ14" s="135" t="s">
        <v>119</v>
      </c>
      <c r="AK14" s="141">
        <f>CORREL(AK20:AK25,AS20:AS25)</f>
        <v>-9.0110111716280944E-2</v>
      </c>
      <c r="AL14" s="142">
        <f>CORREL(AL20:AL25,AS20:AS25)</f>
        <v>-0.52948453176570776</v>
      </c>
      <c r="AM14" s="142">
        <f>CORREL(AM20:AM25,AS20:AS25)</f>
        <v>3.4337551504523105E-2</v>
      </c>
      <c r="AN14" s="142">
        <f>CORREL(AN20:AN25,AS20:AS25)</f>
        <v>-0.47224778981157534</v>
      </c>
      <c r="AO14" s="142">
        <f>CORREL(AO20:AO25,AS20:AS25)</f>
        <v>0.12055994127386448</v>
      </c>
      <c r="AP14" s="142">
        <f>CORREL(AP20:AP25,AS20:AS25)</f>
        <v>-8.6721506329200688E-3</v>
      </c>
      <c r="AQ14" s="142">
        <f>CORREL(AQ20:AQ25,AS20:AS25)</f>
        <v>-0.6944876762379073</v>
      </c>
      <c r="AR14" s="142">
        <f>CORREL(AR20:AR25,AS20:AS25)</f>
        <v>4.9538962256847299E-2</v>
      </c>
      <c r="AS14" s="142">
        <v>1</v>
      </c>
    </row>
    <row r="15" spans="1:45" ht="15" customHeight="1">
      <c r="B15" s="97"/>
      <c r="C15" s="97"/>
      <c r="D15" s="97"/>
      <c r="E15" s="97"/>
      <c r="F15" s="97"/>
      <c r="G15" s="97"/>
      <c r="H15" s="97"/>
      <c r="I15" s="97"/>
      <c r="J15" s="106"/>
      <c r="K15" s="97"/>
      <c r="AA15" s="73"/>
    </row>
    <row r="16" spans="1:45" ht="15.75">
      <c r="B16" s="175" t="s">
        <v>68</v>
      </c>
      <c r="C16" s="175"/>
      <c r="D16" s="175"/>
      <c r="E16" s="175"/>
      <c r="F16" s="175"/>
      <c r="G16" s="175"/>
      <c r="H16" s="97"/>
      <c r="I16" s="97"/>
      <c r="J16" s="106"/>
      <c r="K16" s="97"/>
      <c r="AA16" s="73"/>
    </row>
    <row r="17" spans="2:45" ht="15.75">
      <c r="B17" s="96" t="s">
        <v>67</v>
      </c>
      <c r="C17" s="96" t="s">
        <v>61</v>
      </c>
      <c r="D17" s="96" t="s">
        <v>62</v>
      </c>
      <c r="E17" s="96" t="s">
        <v>63</v>
      </c>
      <c r="F17" s="96" t="s">
        <v>64</v>
      </c>
      <c r="G17" s="96" t="s">
        <v>65</v>
      </c>
      <c r="K17" s="175" t="s">
        <v>68</v>
      </c>
      <c r="L17" s="175"/>
      <c r="M17" s="175"/>
      <c r="N17" s="175"/>
      <c r="O17" s="175"/>
      <c r="P17" s="175"/>
      <c r="S17" s="175" t="s">
        <v>68</v>
      </c>
      <c r="T17" s="175"/>
      <c r="U17" s="175"/>
      <c r="V17" s="175"/>
      <c r="W17" s="175"/>
      <c r="X17" s="175"/>
      <c r="AB17" s="165" t="s">
        <v>68</v>
      </c>
      <c r="AC17" s="166"/>
      <c r="AD17" s="166"/>
      <c r="AE17" s="166"/>
      <c r="AF17" s="166"/>
      <c r="AG17" s="166"/>
      <c r="AH17" s="167"/>
      <c r="AJ17" s="184" t="s">
        <v>118</v>
      </c>
      <c r="AK17" s="184"/>
      <c r="AL17" s="184"/>
      <c r="AM17" s="184"/>
      <c r="AN17" s="184"/>
      <c r="AO17" s="184"/>
      <c r="AP17" s="184"/>
      <c r="AQ17" s="184"/>
      <c r="AR17" s="184"/>
      <c r="AS17" s="184"/>
    </row>
    <row r="18" spans="2:45" ht="13.5" customHeight="1">
      <c r="B18" s="96">
        <v>2005</v>
      </c>
      <c r="C18" s="101">
        <v>17733950</v>
      </c>
      <c r="D18" s="103">
        <v>92501733</v>
      </c>
      <c r="E18" s="102">
        <f>C18/D18</f>
        <v>0.19171478657594448</v>
      </c>
      <c r="F18" s="176">
        <f>SUM(E18:E25)/8</f>
        <v>0.16296323744721181</v>
      </c>
      <c r="G18" s="172">
        <f>STDEV(E18,E19,E20,E21,E22,E23,E24,E25)</f>
        <v>4.125036033733704E-2</v>
      </c>
      <c r="K18" s="96" t="s">
        <v>67</v>
      </c>
      <c r="L18" s="96" t="s">
        <v>74</v>
      </c>
      <c r="M18" s="96" t="s">
        <v>62</v>
      </c>
      <c r="N18" s="96" t="s">
        <v>63</v>
      </c>
      <c r="O18" s="96" t="s">
        <v>64</v>
      </c>
      <c r="P18" s="96" t="s">
        <v>65</v>
      </c>
      <c r="S18" s="96" t="s">
        <v>67</v>
      </c>
      <c r="T18" s="96" t="s">
        <v>77</v>
      </c>
      <c r="U18" s="96" t="s">
        <v>62</v>
      </c>
      <c r="V18" s="96" t="s">
        <v>63</v>
      </c>
      <c r="W18" s="96" t="s">
        <v>64</v>
      </c>
      <c r="X18" s="96" t="s">
        <v>65</v>
      </c>
      <c r="AB18" s="96" t="s">
        <v>67</v>
      </c>
      <c r="AC18" s="96" t="s">
        <v>84</v>
      </c>
      <c r="AD18" s="96" t="s">
        <v>85</v>
      </c>
      <c r="AE18" s="96" t="s">
        <v>86</v>
      </c>
      <c r="AF18" s="96" t="s">
        <v>87</v>
      </c>
      <c r="AG18" s="96" t="s">
        <v>64</v>
      </c>
      <c r="AH18" s="118" t="s">
        <v>65</v>
      </c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</row>
    <row r="19" spans="2:45" ht="16.5" customHeight="1" thickBot="1">
      <c r="B19" s="96">
        <v>2006</v>
      </c>
      <c r="C19" s="101">
        <v>18172514</v>
      </c>
      <c r="D19" s="102">
        <v>96503996</v>
      </c>
      <c r="E19" s="102">
        <f t="shared" ref="E19:E25" si="5">C19/D19</f>
        <v>0.18830840952948724</v>
      </c>
      <c r="F19" s="177"/>
      <c r="G19" s="173"/>
      <c r="K19" s="96">
        <v>2005</v>
      </c>
      <c r="L19" s="101">
        <v>0</v>
      </c>
      <c r="M19" s="103">
        <v>92501733</v>
      </c>
      <c r="N19" s="102">
        <f>L19/M19</f>
        <v>0</v>
      </c>
      <c r="O19" s="172">
        <v>7.8828605608943104E-3</v>
      </c>
      <c r="P19" s="172">
        <f>STDEV(N19,N20,N21,N22,N23,N24,N25,N26)</f>
        <v>2.2296096631025435E-2</v>
      </c>
      <c r="S19" s="96">
        <v>2005</v>
      </c>
      <c r="T19" s="101">
        <v>17733950</v>
      </c>
      <c r="U19" s="108">
        <v>92501733</v>
      </c>
      <c r="V19" s="102">
        <f>T19/U19</f>
        <v>0.19171478657594448</v>
      </c>
      <c r="W19" s="172">
        <f>SUM(V19:V26)/8</f>
        <v>0.15508037688631748</v>
      </c>
      <c r="X19" s="172">
        <f>STDEV(V19,V20,V21,V22,V23,V24,V25,V26)</f>
        <v>4.7742498542002854E-2</v>
      </c>
      <c r="AB19" s="96">
        <v>2005</v>
      </c>
      <c r="AC19" s="103">
        <v>92501733</v>
      </c>
      <c r="AD19" s="119">
        <f>SUM([1]Balance_Steet_Trading!E29+[1]Balance_Steet_Trading!F29+[1]Balance_Steet_Trading!AD29+[1]Balance_Steet_Trading!AE29)</f>
        <v>86566248</v>
      </c>
      <c r="AE19" s="102">
        <f>SUM(AC19-AD19)</f>
        <v>5935485</v>
      </c>
      <c r="AF19" s="102">
        <f>AE19/AD19*100</f>
        <v>6.8565811007541875</v>
      </c>
      <c r="AG19" s="172">
        <f>SUM(AF19:AF26)/8</f>
        <v>13.501720369671192</v>
      </c>
      <c r="AH19" s="181">
        <f>STDEV(AF19,AF20,AF21,AF22,AF23,AF24,AF25,AF26)</f>
        <v>15.736974844359864</v>
      </c>
      <c r="AJ19" s="136" t="s">
        <v>96</v>
      </c>
      <c r="AK19" s="135" t="s">
        <v>108</v>
      </c>
      <c r="AL19" s="135" t="s">
        <v>109</v>
      </c>
      <c r="AM19" s="135" t="s">
        <v>110</v>
      </c>
      <c r="AN19" s="135" t="s">
        <v>111</v>
      </c>
      <c r="AO19" s="135" t="s">
        <v>112</v>
      </c>
      <c r="AP19" s="135" t="s">
        <v>113</v>
      </c>
      <c r="AQ19" s="135" t="s">
        <v>114</v>
      </c>
      <c r="AR19" s="135" t="s">
        <v>115</v>
      </c>
      <c r="AS19" s="135" t="s">
        <v>119</v>
      </c>
    </row>
    <row r="20" spans="2:45" ht="16.5" thickBot="1">
      <c r="B20" s="96">
        <v>2007</v>
      </c>
      <c r="C20" s="101">
        <v>19289452</v>
      </c>
      <c r="D20" s="1">
        <v>96491927</v>
      </c>
      <c r="E20" s="102">
        <f t="shared" si="5"/>
        <v>0.19990741816152144</v>
      </c>
      <c r="F20" s="177"/>
      <c r="G20" s="173"/>
      <c r="K20" s="96">
        <v>2006</v>
      </c>
      <c r="L20" s="101">
        <v>0</v>
      </c>
      <c r="M20" s="102">
        <v>96503996</v>
      </c>
      <c r="N20" s="102">
        <f t="shared" ref="N20:N26" si="6">L20/M20</f>
        <v>0</v>
      </c>
      <c r="O20" s="173"/>
      <c r="P20" s="173"/>
      <c r="S20" s="96">
        <v>2006</v>
      </c>
      <c r="T20" s="101">
        <v>18172514</v>
      </c>
      <c r="U20" s="109">
        <v>96503996</v>
      </c>
      <c r="V20" s="102">
        <f t="shared" ref="V20:V26" si="7">T20/U20</f>
        <v>0.18830840952948724</v>
      </c>
      <c r="W20" s="173"/>
      <c r="X20" s="173"/>
      <c r="AB20" s="96">
        <v>2006</v>
      </c>
      <c r="AC20" s="102">
        <v>96503996</v>
      </c>
      <c r="AD20" s="103">
        <v>92501733</v>
      </c>
      <c r="AE20" s="102">
        <f t="shared" ref="AE20:AE26" si="8">SUM(AC20-AD20)</f>
        <v>4002263</v>
      </c>
      <c r="AF20" s="102">
        <f>AE20/AD20*100</f>
        <v>4.3266897496936618</v>
      </c>
      <c r="AG20" s="173"/>
      <c r="AH20" s="182"/>
      <c r="AJ20" s="135" t="s">
        <v>97</v>
      </c>
      <c r="AK20" s="137">
        <v>49.15</v>
      </c>
      <c r="AL20" s="137">
        <v>9.7799999999999994</v>
      </c>
      <c r="AM20" s="137">
        <v>39.369999999999997</v>
      </c>
      <c r="AN20" s="138">
        <v>289.38</v>
      </c>
      <c r="AO20" s="137">
        <v>45.06</v>
      </c>
      <c r="AP20" s="137">
        <v>103.67</v>
      </c>
      <c r="AQ20" s="137">
        <v>12.16</v>
      </c>
      <c r="AR20" s="137">
        <v>0.56999999999999995</v>
      </c>
      <c r="AS20" s="137">
        <v>4.1399999999999997</v>
      </c>
    </row>
    <row r="21" spans="2:45" ht="16.5" thickBot="1">
      <c r="B21" s="96">
        <v>2008</v>
      </c>
      <c r="C21" s="101">
        <v>25223263</v>
      </c>
      <c r="D21" s="102">
        <v>124624482</v>
      </c>
      <c r="E21" s="102">
        <f t="shared" si="5"/>
        <v>0.20239412509654403</v>
      </c>
      <c r="F21" s="177"/>
      <c r="G21" s="173"/>
      <c r="K21" s="96">
        <v>2007</v>
      </c>
      <c r="L21" s="101">
        <v>0</v>
      </c>
      <c r="M21" s="1">
        <v>96491927</v>
      </c>
      <c r="N21" s="102">
        <f t="shared" si="6"/>
        <v>0</v>
      </c>
      <c r="O21" s="173"/>
      <c r="P21" s="173"/>
      <c r="S21" s="96">
        <v>2007</v>
      </c>
      <c r="T21" s="101">
        <v>19289452</v>
      </c>
      <c r="U21" s="1">
        <v>96491927</v>
      </c>
      <c r="V21" s="102">
        <f t="shared" si="7"/>
        <v>0.19990741816152144</v>
      </c>
      <c r="W21" s="173"/>
      <c r="X21" s="173"/>
      <c r="AB21" s="96">
        <v>2007</v>
      </c>
      <c r="AC21" s="1">
        <v>96491927</v>
      </c>
      <c r="AD21" s="102">
        <v>96503996</v>
      </c>
      <c r="AE21" s="102">
        <f t="shared" si="8"/>
        <v>-12069</v>
      </c>
      <c r="AF21" s="102">
        <f t="shared" ref="AF21:AF26" si="9">AE21/AD21*100</f>
        <v>-1.2506217877236917E-2</v>
      </c>
      <c r="AG21" s="173"/>
      <c r="AH21" s="182"/>
      <c r="AJ21" s="135" t="s">
        <v>98</v>
      </c>
      <c r="AK21" s="139">
        <v>16.3</v>
      </c>
      <c r="AL21" s="139">
        <v>0.79</v>
      </c>
      <c r="AM21" s="139">
        <v>15.51</v>
      </c>
      <c r="AN21" s="140">
        <v>8.14</v>
      </c>
      <c r="AO21" s="139">
        <v>55.13</v>
      </c>
      <c r="AP21" s="139">
        <v>133.97999999999999</v>
      </c>
      <c r="AQ21" s="139">
        <v>13.5</v>
      </c>
      <c r="AR21" s="139">
        <v>39.69</v>
      </c>
      <c r="AS21" s="139">
        <v>24.1</v>
      </c>
    </row>
    <row r="22" spans="2:45" ht="16.5" thickBot="1">
      <c r="B22" s="96">
        <v>2009</v>
      </c>
      <c r="C22" s="101">
        <v>20469947</v>
      </c>
      <c r="D22" s="104">
        <v>149794293</v>
      </c>
      <c r="E22" s="102">
        <f t="shared" si="5"/>
        <v>0.13665371750845007</v>
      </c>
      <c r="F22" s="177"/>
      <c r="G22" s="173"/>
      <c r="K22" s="96">
        <v>2008</v>
      </c>
      <c r="L22" s="101">
        <v>0</v>
      </c>
      <c r="M22" s="102">
        <v>124624482</v>
      </c>
      <c r="N22" s="102">
        <f t="shared" si="6"/>
        <v>0</v>
      </c>
      <c r="O22" s="173"/>
      <c r="P22" s="173"/>
      <c r="S22" s="96">
        <v>2008</v>
      </c>
      <c r="T22" s="101">
        <v>25223263</v>
      </c>
      <c r="U22" s="109">
        <v>124624482</v>
      </c>
      <c r="V22" s="102">
        <f t="shared" si="7"/>
        <v>0.20239412509654403</v>
      </c>
      <c r="W22" s="173"/>
      <c r="X22" s="173"/>
      <c r="AB22" s="96">
        <v>2008</v>
      </c>
      <c r="AC22" s="102">
        <v>124624482</v>
      </c>
      <c r="AD22" s="1">
        <v>96491927</v>
      </c>
      <c r="AE22" s="102">
        <f t="shared" si="8"/>
        <v>28132555</v>
      </c>
      <c r="AF22" s="102">
        <f t="shared" si="9"/>
        <v>29.155345814577839</v>
      </c>
      <c r="AG22" s="173"/>
      <c r="AH22" s="182"/>
      <c r="AJ22" s="135" t="s">
        <v>99</v>
      </c>
      <c r="AK22" s="139">
        <v>57.46</v>
      </c>
      <c r="AL22" s="139">
        <v>0</v>
      </c>
      <c r="AM22" s="139">
        <v>57.46</v>
      </c>
      <c r="AN22" s="140">
        <v>34.82</v>
      </c>
      <c r="AO22" s="139">
        <v>10.69</v>
      </c>
      <c r="AP22" s="139">
        <v>102.28</v>
      </c>
      <c r="AQ22" s="139">
        <v>20.34</v>
      </c>
      <c r="AR22" s="139">
        <v>1.3</v>
      </c>
      <c r="AS22" s="139">
        <v>3.23</v>
      </c>
    </row>
    <row r="23" spans="2:45" ht="16.5" thickBot="1">
      <c r="B23" s="96">
        <v>2010</v>
      </c>
      <c r="C23" s="101">
        <v>20186162</v>
      </c>
      <c r="D23" s="102">
        <v>140705776</v>
      </c>
      <c r="E23" s="102">
        <f t="shared" si="5"/>
        <v>0.14346363435712831</v>
      </c>
      <c r="F23" s="177"/>
      <c r="G23" s="173"/>
      <c r="K23" s="96">
        <v>2009</v>
      </c>
      <c r="L23" s="101">
        <v>0</v>
      </c>
      <c r="M23" s="104">
        <v>149794293</v>
      </c>
      <c r="N23" s="102">
        <f t="shared" si="6"/>
        <v>0</v>
      </c>
      <c r="O23" s="173"/>
      <c r="P23" s="173"/>
      <c r="S23" s="96">
        <v>2009</v>
      </c>
      <c r="T23" s="101">
        <v>20469947</v>
      </c>
      <c r="U23" s="110">
        <v>149794293</v>
      </c>
      <c r="V23" s="102">
        <f t="shared" si="7"/>
        <v>0.13665371750845007</v>
      </c>
      <c r="W23" s="173"/>
      <c r="X23" s="173"/>
      <c r="AB23" s="96">
        <v>2009</v>
      </c>
      <c r="AC23" s="104">
        <v>149794293</v>
      </c>
      <c r="AD23" s="102">
        <v>124624482</v>
      </c>
      <c r="AE23" s="102">
        <f t="shared" si="8"/>
        <v>25169811</v>
      </c>
      <c r="AF23" s="102">
        <f t="shared" si="9"/>
        <v>20.196522060569126</v>
      </c>
      <c r="AG23" s="173"/>
      <c r="AH23" s="182"/>
      <c r="AJ23" s="135" t="s">
        <v>100</v>
      </c>
      <c r="AK23" s="139">
        <v>36.380000000000003</v>
      </c>
      <c r="AL23" s="139">
        <v>5.14</v>
      </c>
      <c r="AM23" s="139">
        <v>31.24</v>
      </c>
      <c r="AN23" s="140">
        <v>117.89</v>
      </c>
      <c r="AO23" s="139">
        <v>56.87</v>
      </c>
      <c r="AP23" s="139">
        <v>112.31</v>
      </c>
      <c r="AQ23" s="139">
        <v>10.52</v>
      </c>
      <c r="AR23" s="139">
        <v>5.45</v>
      </c>
      <c r="AS23" s="139">
        <v>22.33</v>
      </c>
    </row>
    <row r="24" spans="2:45" ht="16.5" thickBot="1">
      <c r="B24" s="96">
        <v>2011</v>
      </c>
      <c r="C24" s="102">
        <v>31414638</v>
      </c>
      <c r="D24" s="102">
        <v>198214847</v>
      </c>
      <c r="E24" s="102">
        <f t="shared" si="5"/>
        <v>0.15848781499198192</v>
      </c>
      <c r="F24" s="177"/>
      <c r="G24" s="173"/>
      <c r="K24" s="96">
        <v>2010</v>
      </c>
      <c r="L24" s="101">
        <v>0</v>
      </c>
      <c r="M24" s="102">
        <v>140705776</v>
      </c>
      <c r="N24" s="102">
        <f t="shared" si="6"/>
        <v>0</v>
      </c>
      <c r="O24" s="173"/>
      <c r="P24" s="173"/>
      <c r="S24" s="96">
        <v>2010</v>
      </c>
      <c r="T24" s="101">
        <v>20186162</v>
      </c>
      <c r="U24" s="109">
        <v>140705776</v>
      </c>
      <c r="V24" s="102">
        <f t="shared" si="7"/>
        <v>0.14346363435712831</v>
      </c>
      <c r="W24" s="173"/>
      <c r="X24" s="173"/>
      <c r="AB24" s="96">
        <v>2010</v>
      </c>
      <c r="AC24" s="102">
        <v>140705776</v>
      </c>
      <c r="AD24" s="104">
        <v>149794293</v>
      </c>
      <c r="AE24" s="102">
        <f t="shared" si="8"/>
        <v>-9088517</v>
      </c>
      <c r="AF24" s="102">
        <f t="shared" si="9"/>
        <v>-6.0673319510243289</v>
      </c>
      <c r="AG24" s="173"/>
      <c r="AH24" s="182"/>
      <c r="AJ24" s="135" t="s">
        <v>101</v>
      </c>
      <c r="AK24" s="139">
        <v>63.68</v>
      </c>
      <c r="AL24" s="139">
        <v>0</v>
      </c>
      <c r="AM24" s="139">
        <v>63.68</v>
      </c>
      <c r="AN24" s="140">
        <v>19.670000000000002</v>
      </c>
      <c r="AO24" s="139">
        <v>11.54</v>
      </c>
      <c r="AP24" s="139">
        <v>121.31</v>
      </c>
      <c r="AQ24" s="139">
        <v>10.17</v>
      </c>
      <c r="AR24" s="139">
        <v>1.79</v>
      </c>
      <c r="AS24" s="139">
        <v>25.68</v>
      </c>
    </row>
    <row r="25" spans="2:45" ht="16.5" thickBot="1">
      <c r="B25" s="96">
        <v>2012</v>
      </c>
      <c r="C25" s="102">
        <v>18488976</v>
      </c>
      <c r="D25" s="102">
        <v>223361572</v>
      </c>
      <c r="E25" s="102">
        <f t="shared" si="5"/>
        <v>8.2775993356637018E-2</v>
      </c>
      <c r="F25" s="178"/>
      <c r="G25" s="174"/>
      <c r="I25" s="105"/>
      <c r="K25" s="96">
        <v>2011</v>
      </c>
      <c r="L25" s="107">
        <v>12500000</v>
      </c>
      <c r="M25" s="102">
        <v>198214847</v>
      </c>
      <c r="N25" s="102">
        <f t="shared" si="6"/>
        <v>6.3062884487154483E-2</v>
      </c>
      <c r="O25" s="173"/>
      <c r="P25" s="173"/>
      <c r="S25" s="96">
        <v>2011</v>
      </c>
      <c r="T25" s="102">
        <v>18914638</v>
      </c>
      <c r="U25" s="109">
        <v>198214847</v>
      </c>
      <c r="V25" s="102">
        <f t="shared" si="7"/>
        <v>9.5424930504827421E-2</v>
      </c>
      <c r="W25" s="173"/>
      <c r="X25" s="173"/>
      <c r="AB25" s="96">
        <v>2011</v>
      </c>
      <c r="AC25" s="102">
        <v>198214847</v>
      </c>
      <c r="AD25" s="102">
        <v>140705776</v>
      </c>
      <c r="AE25" s="102">
        <f t="shared" si="8"/>
        <v>57509071</v>
      </c>
      <c r="AF25" s="102">
        <f t="shared" si="9"/>
        <v>40.871862289434375</v>
      </c>
      <c r="AG25" s="173"/>
      <c r="AH25" s="182"/>
      <c r="AJ25" s="135" t="s">
        <v>102</v>
      </c>
      <c r="AK25" s="139">
        <v>20.86</v>
      </c>
      <c r="AL25" s="139">
        <v>9.81</v>
      </c>
      <c r="AM25" s="139">
        <v>11.05</v>
      </c>
      <c r="AN25" s="140">
        <v>1985</v>
      </c>
      <c r="AO25" s="139">
        <v>49.39</v>
      </c>
      <c r="AP25" s="139">
        <v>169.74</v>
      </c>
      <c r="AQ25" s="139">
        <v>16.02</v>
      </c>
      <c r="AR25" s="139">
        <v>42.38</v>
      </c>
      <c r="AS25" s="139">
        <v>4.8499999999999996</v>
      </c>
    </row>
    <row r="26" spans="2:45" ht="15.75">
      <c r="K26" s="96">
        <v>2012</v>
      </c>
      <c r="L26" s="102">
        <v>0</v>
      </c>
      <c r="M26" s="102">
        <v>223361572</v>
      </c>
      <c r="N26" s="102">
        <f t="shared" si="6"/>
        <v>0</v>
      </c>
      <c r="O26" s="174"/>
      <c r="P26" s="174"/>
      <c r="S26" s="96">
        <v>2012</v>
      </c>
      <c r="T26" s="102">
        <v>18488976</v>
      </c>
      <c r="U26" s="109">
        <v>223361572</v>
      </c>
      <c r="V26" s="102">
        <f t="shared" si="7"/>
        <v>8.2775993356637018E-2</v>
      </c>
      <c r="W26" s="174"/>
      <c r="X26" s="174"/>
      <c r="AB26" s="96">
        <v>2012</v>
      </c>
      <c r="AC26" s="102">
        <v>223361572</v>
      </c>
      <c r="AD26" s="102">
        <v>198214847</v>
      </c>
      <c r="AE26" s="102">
        <f t="shared" si="8"/>
        <v>25146725</v>
      </c>
      <c r="AF26" s="102">
        <f t="shared" si="9"/>
        <v>12.686600111241919</v>
      </c>
      <c r="AG26" s="174"/>
      <c r="AH26" s="183"/>
    </row>
    <row r="27" spans="2:45" ht="15.75">
      <c r="B27" s="175" t="s">
        <v>69</v>
      </c>
      <c r="C27" s="175"/>
      <c r="D27" s="175"/>
      <c r="E27" s="175"/>
      <c r="F27" s="175"/>
      <c r="G27" s="175"/>
    </row>
    <row r="28" spans="2:45" ht="15.75">
      <c r="B28" s="96" t="s">
        <v>67</v>
      </c>
      <c r="C28" s="96" t="s">
        <v>61</v>
      </c>
      <c r="D28" s="96" t="s">
        <v>62</v>
      </c>
      <c r="E28" s="96" t="s">
        <v>63</v>
      </c>
      <c r="F28" s="96" t="s">
        <v>64</v>
      </c>
      <c r="G28" s="96" t="s">
        <v>65</v>
      </c>
    </row>
    <row r="29" spans="2:45" ht="15.75">
      <c r="B29" s="96">
        <v>2005</v>
      </c>
      <c r="C29" s="102">
        <v>60991505</v>
      </c>
      <c r="D29" s="103">
        <v>131004901</v>
      </c>
      <c r="E29" s="102">
        <f>C29/D29</f>
        <v>0.46556658975682141</v>
      </c>
      <c r="F29" s="172">
        <f>SUM(E29:E36)/8</f>
        <v>0.5745541674783895</v>
      </c>
      <c r="G29" s="172">
        <f>STDEV(E29,E30,E31,E32,E33,E34,E35,E36)</f>
        <v>0.1325436654247299</v>
      </c>
      <c r="K29" s="175" t="s">
        <v>69</v>
      </c>
      <c r="L29" s="175"/>
      <c r="M29" s="175"/>
      <c r="N29" s="175"/>
      <c r="O29" s="175"/>
      <c r="P29" s="175"/>
      <c r="S29" s="175" t="s">
        <v>69</v>
      </c>
      <c r="T29" s="175"/>
      <c r="U29" s="175"/>
      <c r="V29" s="175"/>
      <c r="W29" s="175"/>
      <c r="X29" s="175"/>
      <c r="AB29" s="165" t="s">
        <v>69</v>
      </c>
      <c r="AC29" s="166"/>
      <c r="AD29" s="166"/>
      <c r="AE29" s="166"/>
      <c r="AF29" s="166"/>
      <c r="AG29" s="166"/>
      <c r="AH29" s="167"/>
    </row>
    <row r="30" spans="2:45" ht="15.75">
      <c r="B30" s="96">
        <v>2006</v>
      </c>
      <c r="C30" s="102">
        <v>56671500</v>
      </c>
      <c r="D30" s="102">
        <v>142349803</v>
      </c>
      <c r="E30" s="102">
        <f t="shared" ref="E30:E36" si="10">C30/D30</f>
        <v>0.3981143549598028</v>
      </c>
      <c r="F30" s="173"/>
      <c r="G30" s="173"/>
      <c r="K30" s="96" t="s">
        <v>67</v>
      </c>
      <c r="L30" s="96" t="s">
        <v>73</v>
      </c>
      <c r="M30" s="96" t="s">
        <v>62</v>
      </c>
      <c r="N30" s="96" t="s">
        <v>63</v>
      </c>
      <c r="O30" s="96" t="s">
        <v>64</v>
      </c>
      <c r="P30" s="96" t="s">
        <v>65</v>
      </c>
      <c r="S30" s="96" t="s">
        <v>67</v>
      </c>
      <c r="T30" s="96" t="s">
        <v>77</v>
      </c>
      <c r="U30" s="96" t="s">
        <v>62</v>
      </c>
      <c r="V30" s="96" t="s">
        <v>63</v>
      </c>
      <c r="W30" s="96" t="s">
        <v>64</v>
      </c>
      <c r="X30" s="96" t="s">
        <v>65</v>
      </c>
      <c r="AB30" s="96" t="s">
        <v>67</v>
      </c>
      <c r="AC30" s="96" t="s">
        <v>84</v>
      </c>
      <c r="AD30" s="96" t="s">
        <v>85</v>
      </c>
      <c r="AE30" s="96" t="s">
        <v>86</v>
      </c>
      <c r="AF30" s="96" t="s">
        <v>87</v>
      </c>
      <c r="AG30" s="96" t="s">
        <v>64</v>
      </c>
      <c r="AH30" s="118" t="s">
        <v>65</v>
      </c>
    </row>
    <row r="31" spans="2:45" ht="15.75">
      <c r="B31" s="96">
        <v>2007</v>
      </c>
      <c r="C31" s="101">
        <v>102002111</v>
      </c>
      <c r="D31" s="1">
        <v>217031048</v>
      </c>
      <c r="E31" s="102">
        <f t="shared" si="10"/>
        <v>0.46998856587560689</v>
      </c>
      <c r="F31" s="173"/>
      <c r="G31" s="173"/>
      <c r="K31" s="96">
        <v>2005</v>
      </c>
      <c r="L31" s="101">
        <v>0</v>
      </c>
      <c r="M31" s="103">
        <v>131004901</v>
      </c>
      <c r="N31" s="102">
        <f>L31/M31</f>
        <v>0</v>
      </c>
      <c r="O31" s="172">
        <v>0</v>
      </c>
      <c r="P31" s="172">
        <f>STDEV(N31,N32,N33,N34,N35,N36,N37,N38)</f>
        <v>0</v>
      </c>
      <c r="S31" s="96">
        <v>2005</v>
      </c>
      <c r="T31" s="102">
        <v>60991505</v>
      </c>
      <c r="U31" s="108">
        <v>131004901</v>
      </c>
      <c r="V31" s="102">
        <f>T31/U31</f>
        <v>0.46556658975682141</v>
      </c>
      <c r="W31" s="172">
        <f>SUM(V31:V38)/8</f>
        <v>0.5745541674783895</v>
      </c>
      <c r="X31" s="172">
        <f>STDEV(V31,V32,V33,V34,V35,V36,V37,V38)</f>
        <v>0.1325436654247299</v>
      </c>
      <c r="AB31" s="96">
        <v>2005</v>
      </c>
      <c r="AC31" s="108">
        <v>131004901</v>
      </c>
      <c r="AD31" s="119">
        <f>SUM(17245736+82667493)</f>
        <v>99913229</v>
      </c>
      <c r="AE31" s="102">
        <f>SUM(AC31-AD31)</f>
        <v>31091672</v>
      </c>
      <c r="AF31" s="102">
        <f>AE31/AD31*100</f>
        <v>31.118673984603181</v>
      </c>
      <c r="AG31" s="172">
        <f>SUM(AF31:AF38)/8</f>
        <v>20.340468980159347</v>
      </c>
      <c r="AH31" s="181">
        <f>STDEV(AF31,AF32,AF33,AF34,AF35,AF36,AF37,AF38)</f>
        <v>33.759733195667849</v>
      </c>
    </row>
    <row r="32" spans="2:45" ht="15.75">
      <c r="B32" s="96">
        <v>2008</v>
      </c>
      <c r="C32" s="102">
        <v>112109693</v>
      </c>
      <c r="D32" s="102">
        <v>205104312</v>
      </c>
      <c r="E32" s="102">
        <f t="shared" si="10"/>
        <v>0.54659842061243447</v>
      </c>
      <c r="F32" s="173"/>
      <c r="G32" s="173"/>
      <c r="H32" s="73"/>
      <c r="K32" s="96">
        <v>2006</v>
      </c>
      <c r="L32" s="74">
        <v>0</v>
      </c>
      <c r="M32" s="102">
        <v>142349803</v>
      </c>
      <c r="N32" s="102">
        <f t="shared" ref="N32:N38" si="11">L32/M32</f>
        <v>0</v>
      </c>
      <c r="O32" s="173"/>
      <c r="P32" s="173"/>
      <c r="S32" s="96">
        <v>2006</v>
      </c>
      <c r="T32" s="102">
        <v>56671500</v>
      </c>
      <c r="U32" s="109">
        <v>142349803</v>
      </c>
      <c r="V32" s="102">
        <f t="shared" ref="V32:V38" si="12">T32/U32</f>
        <v>0.3981143549598028</v>
      </c>
      <c r="W32" s="173"/>
      <c r="X32" s="173"/>
      <c r="AB32" s="96">
        <v>2006</v>
      </c>
      <c r="AC32" s="109">
        <v>142349803</v>
      </c>
      <c r="AD32" s="120">
        <v>131004901</v>
      </c>
      <c r="AE32" s="102">
        <f t="shared" ref="AE32:AE38" si="13">SUM(AC32-AD32)</f>
        <v>11344902</v>
      </c>
      <c r="AF32" s="102">
        <f>AE32/AD32*100</f>
        <v>8.6599065480763961</v>
      </c>
      <c r="AG32" s="173"/>
      <c r="AH32" s="182"/>
    </row>
    <row r="33" spans="2:34" ht="15.75">
      <c r="B33" s="96">
        <v>2009</v>
      </c>
      <c r="C33" s="101">
        <v>122613809</v>
      </c>
      <c r="D33" s="104">
        <v>209342035</v>
      </c>
      <c r="E33" s="102">
        <f t="shared" si="10"/>
        <v>0.58571040928306639</v>
      </c>
      <c r="F33" s="173"/>
      <c r="G33" s="173"/>
      <c r="H33" s="73"/>
      <c r="K33" s="96">
        <v>2007</v>
      </c>
      <c r="L33" s="102">
        <v>0</v>
      </c>
      <c r="M33" s="1">
        <v>217031048</v>
      </c>
      <c r="N33" s="102">
        <f t="shared" si="11"/>
        <v>0</v>
      </c>
      <c r="O33" s="173"/>
      <c r="P33" s="173"/>
      <c r="S33" s="96">
        <v>2007</v>
      </c>
      <c r="T33" s="101">
        <v>102002111</v>
      </c>
      <c r="U33" s="1">
        <v>217031048</v>
      </c>
      <c r="V33" s="102">
        <f t="shared" si="12"/>
        <v>0.46998856587560689</v>
      </c>
      <c r="W33" s="173"/>
      <c r="X33" s="173"/>
      <c r="AB33" s="96">
        <v>2007</v>
      </c>
      <c r="AC33" s="1">
        <v>217031048</v>
      </c>
      <c r="AD33" s="102">
        <v>142349803</v>
      </c>
      <c r="AE33" s="102">
        <f t="shared" si="13"/>
        <v>74681245</v>
      </c>
      <c r="AF33" s="102">
        <f t="shared" ref="AF33:AF38" si="14">AE33/AD33*100</f>
        <v>52.463188164721245</v>
      </c>
      <c r="AG33" s="173"/>
      <c r="AH33" s="182"/>
    </row>
    <row r="34" spans="2:34" ht="15.75">
      <c r="B34" s="96">
        <v>2010</v>
      </c>
      <c r="C34" s="102">
        <v>240358061</v>
      </c>
      <c r="D34" s="102">
        <v>388844305</v>
      </c>
      <c r="E34" s="102">
        <f t="shared" si="10"/>
        <v>0.61813445101118303</v>
      </c>
      <c r="F34" s="173"/>
      <c r="G34" s="173"/>
      <c r="H34" s="73"/>
      <c r="K34" s="96">
        <v>2008</v>
      </c>
      <c r="L34" s="102">
        <v>0</v>
      </c>
      <c r="M34" s="102">
        <v>205104312</v>
      </c>
      <c r="N34" s="102">
        <f t="shared" si="11"/>
        <v>0</v>
      </c>
      <c r="O34" s="173"/>
      <c r="P34" s="173"/>
      <c r="S34" s="96">
        <v>2008</v>
      </c>
      <c r="T34" s="102">
        <v>112109693</v>
      </c>
      <c r="U34" s="109">
        <v>205104312</v>
      </c>
      <c r="V34" s="102">
        <f t="shared" si="12"/>
        <v>0.54659842061243447</v>
      </c>
      <c r="W34" s="173"/>
      <c r="X34" s="173"/>
      <c r="AB34" s="96">
        <v>2008</v>
      </c>
      <c r="AC34" s="109">
        <v>205104312</v>
      </c>
      <c r="AD34" s="1">
        <v>217031048</v>
      </c>
      <c r="AE34" s="102">
        <f t="shared" si="13"/>
        <v>-11926736</v>
      </c>
      <c r="AF34" s="102">
        <f t="shared" si="14"/>
        <v>-5.495405431576776</v>
      </c>
      <c r="AG34" s="173"/>
      <c r="AH34" s="182"/>
    </row>
    <row r="35" spans="2:34" ht="15.75">
      <c r="B35" s="96">
        <v>2011</v>
      </c>
      <c r="C35" s="102">
        <v>293379483</v>
      </c>
      <c r="D35" s="102">
        <v>382171258</v>
      </c>
      <c r="E35" s="102">
        <f t="shared" si="10"/>
        <v>0.76766495872905227</v>
      </c>
      <c r="F35" s="173"/>
      <c r="G35" s="173"/>
      <c r="H35" s="73"/>
      <c r="K35" s="96">
        <v>2009</v>
      </c>
      <c r="L35" s="102">
        <v>0</v>
      </c>
      <c r="M35" s="104">
        <v>209342035</v>
      </c>
      <c r="N35" s="102">
        <f t="shared" si="11"/>
        <v>0</v>
      </c>
      <c r="O35" s="173"/>
      <c r="P35" s="173"/>
      <c r="S35" s="96">
        <v>2009</v>
      </c>
      <c r="T35" s="101">
        <v>122613809</v>
      </c>
      <c r="U35" s="110">
        <v>209342035</v>
      </c>
      <c r="V35" s="102">
        <f t="shared" si="12"/>
        <v>0.58571040928306639</v>
      </c>
      <c r="W35" s="173"/>
      <c r="X35" s="173"/>
      <c r="AB35" s="96">
        <v>2009</v>
      </c>
      <c r="AC35" s="110">
        <v>209342035</v>
      </c>
      <c r="AD35" s="109">
        <v>205104312</v>
      </c>
      <c r="AE35" s="102">
        <f t="shared" si="13"/>
        <v>4237723</v>
      </c>
      <c r="AF35" s="102">
        <f t="shared" si="14"/>
        <v>2.0661306233288745</v>
      </c>
      <c r="AG35" s="173"/>
      <c r="AH35" s="182"/>
    </row>
    <row r="36" spans="2:34" ht="15.75">
      <c r="B36" s="96">
        <v>2012</v>
      </c>
      <c r="C36" s="102">
        <v>255790000</v>
      </c>
      <c r="D36" s="102">
        <v>343501081</v>
      </c>
      <c r="E36" s="102">
        <f t="shared" si="10"/>
        <v>0.7446555895991489</v>
      </c>
      <c r="F36" s="174"/>
      <c r="G36" s="174"/>
      <c r="H36" s="73"/>
      <c r="K36" s="96">
        <v>2010</v>
      </c>
      <c r="L36" s="102">
        <v>0</v>
      </c>
      <c r="M36" s="102">
        <v>388844305</v>
      </c>
      <c r="N36" s="102">
        <f t="shared" si="11"/>
        <v>0</v>
      </c>
      <c r="O36" s="173"/>
      <c r="P36" s="173"/>
      <c r="S36" s="96">
        <v>2010</v>
      </c>
      <c r="T36" s="102">
        <v>240358061</v>
      </c>
      <c r="U36" s="109">
        <v>388844305</v>
      </c>
      <c r="V36" s="102">
        <f>T36/U36</f>
        <v>0.61813445101118303</v>
      </c>
      <c r="W36" s="173"/>
      <c r="X36" s="173"/>
      <c r="AB36" s="96">
        <v>2010</v>
      </c>
      <c r="AC36" s="109">
        <v>388844305</v>
      </c>
      <c r="AD36" s="110">
        <v>209342035</v>
      </c>
      <c r="AE36" s="102">
        <f t="shared" si="13"/>
        <v>179502270</v>
      </c>
      <c r="AF36" s="102">
        <f t="shared" si="14"/>
        <v>85.745927711078181</v>
      </c>
      <c r="AG36" s="173"/>
      <c r="AH36" s="182"/>
    </row>
    <row r="37" spans="2:34" ht="15.75">
      <c r="F37" s="113"/>
      <c r="G37" s="113"/>
      <c r="H37" s="73"/>
      <c r="K37" s="96">
        <v>2011</v>
      </c>
      <c r="L37" s="102">
        <v>0</v>
      </c>
      <c r="M37" s="102">
        <v>382171258</v>
      </c>
      <c r="N37" s="102">
        <f t="shared" si="11"/>
        <v>0</v>
      </c>
      <c r="O37" s="173"/>
      <c r="P37" s="173"/>
      <c r="S37" s="96">
        <v>2011</v>
      </c>
      <c r="T37" s="102">
        <v>293379483</v>
      </c>
      <c r="U37" s="109">
        <v>382171258</v>
      </c>
      <c r="V37" s="102">
        <f t="shared" si="12"/>
        <v>0.76766495872905227</v>
      </c>
      <c r="W37" s="173"/>
      <c r="X37" s="173"/>
      <c r="AB37" s="96">
        <v>2011</v>
      </c>
      <c r="AC37" s="109">
        <v>382171258</v>
      </c>
      <c r="AD37" s="109">
        <v>388844305</v>
      </c>
      <c r="AE37" s="102">
        <f t="shared" si="13"/>
        <v>-6673047</v>
      </c>
      <c r="AF37" s="102">
        <f t="shared" si="14"/>
        <v>-1.7161231151373042</v>
      </c>
      <c r="AG37" s="173"/>
      <c r="AH37" s="182"/>
    </row>
    <row r="38" spans="2:34" ht="15.75">
      <c r="F38" s="114"/>
      <c r="G38" s="114"/>
      <c r="H38" s="73"/>
      <c r="K38" s="96">
        <v>2012</v>
      </c>
      <c r="L38" s="102">
        <v>0</v>
      </c>
      <c r="M38" s="102">
        <v>343501081</v>
      </c>
      <c r="N38" s="102">
        <f t="shared" si="11"/>
        <v>0</v>
      </c>
      <c r="O38" s="174"/>
      <c r="P38" s="174"/>
      <c r="S38" s="96">
        <v>2012</v>
      </c>
      <c r="T38" s="102">
        <v>255790000</v>
      </c>
      <c r="U38" s="109">
        <v>343501081</v>
      </c>
      <c r="V38" s="102">
        <f t="shared" si="12"/>
        <v>0.7446555895991489</v>
      </c>
      <c r="W38" s="174"/>
      <c r="X38" s="174"/>
      <c r="AB38" s="96">
        <v>2012</v>
      </c>
      <c r="AC38" s="109">
        <v>343501081</v>
      </c>
      <c r="AD38" s="109">
        <v>382171258</v>
      </c>
      <c r="AE38" s="102">
        <f t="shared" si="13"/>
        <v>-38670177</v>
      </c>
      <c r="AF38" s="102">
        <f t="shared" si="14"/>
        <v>-10.118546643819039</v>
      </c>
      <c r="AG38" s="174"/>
      <c r="AH38" s="183"/>
    </row>
    <row r="39" spans="2:34" ht="15" customHeight="1">
      <c r="F39" s="114"/>
      <c r="G39" s="114"/>
      <c r="H39" s="73"/>
    </row>
    <row r="40" spans="2:34" ht="15" customHeight="1">
      <c r="F40" s="114"/>
      <c r="G40" s="114"/>
      <c r="H40" s="73"/>
    </row>
    <row r="41" spans="2:34" ht="15" customHeight="1">
      <c r="F41" s="114"/>
      <c r="G41" s="114"/>
      <c r="H41" s="73"/>
      <c r="I41" s="73"/>
    </row>
    <row r="42" spans="2:34" ht="15" customHeight="1">
      <c r="F42" s="114"/>
      <c r="G42" s="114"/>
      <c r="H42" s="73"/>
      <c r="I42" s="73"/>
    </row>
    <row r="43" spans="2:34" ht="15" customHeight="1">
      <c r="F43" s="114"/>
      <c r="G43" s="114"/>
      <c r="H43" s="73"/>
      <c r="I43" s="73"/>
    </row>
    <row r="44" spans="2:34" ht="15" customHeight="1">
      <c r="F44" s="114"/>
      <c r="G44" s="114"/>
      <c r="H44" s="73"/>
      <c r="I44" s="73"/>
    </row>
    <row r="45" spans="2:34">
      <c r="H45" s="73"/>
      <c r="I45" s="73"/>
    </row>
    <row r="46" spans="2:34">
      <c r="H46" s="73"/>
      <c r="I46" s="73"/>
    </row>
    <row r="47" spans="2:34" ht="15.75">
      <c r="B47" s="171" t="s">
        <v>70</v>
      </c>
      <c r="C47" s="171"/>
      <c r="D47" s="171"/>
      <c r="E47" s="171"/>
      <c r="F47" s="171"/>
      <c r="G47" s="171"/>
      <c r="S47" s="171"/>
      <c r="T47" s="171"/>
      <c r="U47" s="171"/>
      <c r="V47" s="171"/>
      <c r="W47" s="171"/>
      <c r="X47" s="171"/>
    </row>
    <row r="48" spans="2:34" ht="15.75">
      <c r="B48" s="96" t="s">
        <v>67</v>
      </c>
      <c r="C48" s="96" t="s">
        <v>61</v>
      </c>
      <c r="D48" s="96" t="s">
        <v>62</v>
      </c>
      <c r="E48" s="96" t="s">
        <v>63</v>
      </c>
      <c r="F48" s="96" t="s">
        <v>64</v>
      </c>
      <c r="G48" s="96" t="s">
        <v>65</v>
      </c>
      <c r="K48" s="171" t="s">
        <v>70</v>
      </c>
      <c r="L48" s="171"/>
      <c r="M48" s="171"/>
      <c r="N48" s="171"/>
      <c r="O48" s="171"/>
      <c r="P48" s="171"/>
      <c r="S48" s="163" t="s">
        <v>70</v>
      </c>
      <c r="T48" s="163"/>
      <c r="U48" s="163"/>
      <c r="V48" s="163"/>
      <c r="W48" s="163"/>
      <c r="X48" s="163"/>
      <c r="AB48" s="165" t="s">
        <v>70</v>
      </c>
      <c r="AC48" s="166"/>
      <c r="AD48" s="166"/>
      <c r="AE48" s="166"/>
      <c r="AF48" s="166"/>
      <c r="AG48" s="166"/>
      <c r="AH48" s="167"/>
    </row>
    <row r="49" spans="2:34" ht="15.75">
      <c r="B49" s="96">
        <v>2005</v>
      </c>
      <c r="C49" s="101">
        <f t="shared" ref="C49:C56" si="15">SUM(L50+T50)</f>
        <v>164399000</v>
      </c>
      <c r="D49" s="108">
        <v>990879348</v>
      </c>
      <c r="E49" s="102">
        <f>C49/D49</f>
        <v>0.16591222769131728</v>
      </c>
      <c r="F49" s="172">
        <f>SUM(E49:E56)/8</f>
        <v>0.363796075293571</v>
      </c>
      <c r="G49" s="172">
        <f>STDEV(E49,E50,E51,E52,E53,E54,E55,E56)</f>
        <v>0.10890737412378307</v>
      </c>
      <c r="K49" s="96" t="s">
        <v>67</v>
      </c>
      <c r="L49" s="96" t="s">
        <v>74</v>
      </c>
      <c r="M49" s="96" t="s">
        <v>62</v>
      </c>
      <c r="N49" s="96" t="s">
        <v>63</v>
      </c>
      <c r="O49" s="96" t="s">
        <v>64</v>
      </c>
      <c r="P49" s="96" t="s">
        <v>65</v>
      </c>
      <c r="S49" s="96" t="s">
        <v>67</v>
      </c>
      <c r="T49" s="96" t="s">
        <v>77</v>
      </c>
      <c r="U49" s="111" t="s">
        <v>62</v>
      </c>
      <c r="V49" s="96" t="s">
        <v>63</v>
      </c>
      <c r="W49" s="96" t="s">
        <v>64</v>
      </c>
      <c r="X49" s="96" t="s">
        <v>65</v>
      </c>
      <c r="AB49" s="96" t="s">
        <v>67</v>
      </c>
      <c r="AC49" s="96" t="s">
        <v>84</v>
      </c>
      <c r="AD49" s="96" t="s">
        <v>85</v>
      </c>
      <c r="AE49" s="96" t="s">
        <v>86</v>
      </c>
      <c r="AF49" s="96" t="s">
        <v>87</v>
      </c>
      <c r="AG49" s="96" t="s">
        <v>64</v>
      </c>
      <c r="AH49" s="118" t="s">
        <v>65</v>
      </c>
    </row>
    <row r="50" spans="2:34" ht="15.75">
      <c r="B50" s="96">
        <v>2006</v>
      </c>
      <c r="C50" s="101">
        <f t="shared" si="15"/>
        <v>282700866</v>
      </c>
      <c r="D50" s="109">
        <v>1052050623</v>
      </c>
      <c r="E50" s="102">
        <f t="shared" ref="E50:E56" si="16">C50/D50</f>
        <v>0.26871412821738333</v>
      </c>
      <c r="F50" s="173"/>
      <c r="G50" s="173"/>
      <c r="K50" s="96">
        <v>2005</v>
      </c>
      <c r="L50" s="101">
        <v>0</v>
      </c>
      <c r="M50" s="108">
        <v>990879348</v>
      </c>
      <c r="N50" s="102">
        <f>L50/M50</f>
        <v>0</v>
      </c>
      <c r="O50" s="172">
        <v>5.138795872265306E-2</v>
      </c>
      <c r="P50" s="172">
        <f>STDEV(N50,N51,N52,N53,N54,N55,N56,N57)</f>
        <v>6.2512204951689604E-2</v>
      </c>
      <c r="S50" s="96">
        <v>2005</v>
      </c>
      <c r="T50" s="101">
        <v>164399000</v>
      </c>
      <c r="U50" s="108">
        <v>990879348</v>
      </c>
      <c r="V50" s="102">
        <f>T50/U50</f>
        <v>0.16591222769131728</v>
      </c>
      <c r="W50" s="172">
        <f>SUM(V50:V57)/8</f>
        <v>0.31240811657091799</v>
      </c>
      <c r="X50" s="172">
        <f>STDEV(V50,V51,V52,V53,V54,V55,V56,V57)</f>
        <v>9.05353649510139E-2</v>
      </c>
      <c r="AB50" s="96">
        <v>2005</v>
      </c>
      <c r="AC50" s="102">
        <v>990879348</v>
      </c>
      <c r="AD50" s="112">
        <v>901176000</v>
      </c>
      <c r="AE50" s="102">
        <f>SUM(AC50-AD50)</f>
        <v>89703348</v>
      </c>
      <c r="AF50" s="102">
        <f>AE50/AD50*100</f>
        <v>9.9540320647687022</v>
      </c>
      <c r="AG50" s="172">
        <f>SUM(AF50:AF57)/8</f>
        <v>10.518801877321797</v>
      </c>
      <c r="AH50" s="181">
        <f>STDEV(AF50,AF51,AF52,AF53,AF54,AF55,AF56,AF57)</f>
        <v>9.3537171317228864</v>
      </c>
    </row>
    <row r="51" spans="2:34" ht="15.75">
      <c r="B51" s="96">
        <v>2007</v>
      </c>
      <c r="C51" s="101">
        <f t="shared" si="15"/>
        <v>512493746</v>
      </c>
      <c r="D51" s="1">
        <v>1252313252</v>
      </c>
      <c r="E51" s="102">
        <f t="shared" si="16"/>
        <v>0.40923766092990288</v>
      </c>
      <c r="F51" s="173"/>
      <c r="G51" s="173"/>
      <c r="K51" s="96">
        <v>2006</v>
      </c>
      <c r="L51" s="101">
        <v>72000000</v>
      </c>
      <c r="M51" s="109">
        <v>1052050623</v>
      </c>
      <c r="N51" s="102">
        <f t="shared" ref="N51:N57" si="17">L51/M51</f>
        <v>6.8437771363783512E-2</v>
      </c>
      <c r="O51" s="173"/>
      <c r="P51" s="173"/>
      <c r="S51" s="96">
        <v>2006</v>
      </c>
      <c r="T51" s="101">
        <v>210700866</v>
      </c>
      <c r="U51" s="109">
        <v>1052050623</v>
      </c>
      <c r="V51" s="102">
        <f t="shared" ref="V51:V55" si="18">T51/U51</f>
        <v>0.20027635685359982</v>
      </c>
      <c r="W51" s="173"/>
      <c r="X51" s="173"/>
      <c r="AB51" s="96">
        <v>2006</v>
      </c>
      <c r="AC51" s="102">
        <v>1052050623</v>
      </c>
      <c r="AD51" s="102">
        <v>990879348</v>
      </c>
      <c r="AE51" s="102">
        <f t="shared" ref="AE51:AE57" si="19">SUM(AC51-AD51)</f>
        <v>61171275</v>
      </c>
      <c r="AF51" s="102">
        <f>AE51/AD51*100</f>
        <v>6.1734332361925457</v>
      </c>
      <c r="AG51" s="173"/>
      <c r="AH51" s="182"/>
    </row>
    <row r="52" spans="2:34" ht="15.75">
      <c r="B52" s="96">
        <v>2008</v>
      </c>
      <c r="C52" s="101">
        <f t="shared" si="15"/>
        <v>531558769</v>
      </c>
      <c r="D52" s="109">
        <v>1145330936</v>
      </c>
      <c r="E52" s="102">
        <f t="shared" si="16"/>
        <v>0.46410932621486439</v>
      </c>
      <c r="F52" s="173"/>
      <c r="G52" s="173"/>
      <c r="K52" s="96">
        <v>2007</v>
      </c>
      <c r="L52" s="102">
        <v>0</v>
      </c>
      <c r="M52" s="1">
        <v>1252313252</v>
      </c>
      <c r="N52" s="102">
        <f t="shared" si="17"/>
        <v>0</v>
      </c>
      <c r="O52" s="173"/>
      <c r="P52" s="173"/>
      <c r="S52" s="96">
        <v>2007</v>
      </c>
      <c r="T52" s="101">
        <v>512493746</v>
      </c>
      <c r="U52" s="1">
        <v>1252313252</v>
      </c>
      <c r="V52" s="102">
        <f t="shared" si="18"/>
        <v>0.40923766092990288</v>
      </c>
      <c r="W52" s="173"/>
      <c r="X52" s="173"/>
      <c r="AB52" s="96">
        <v>2007</v>
      </c>
      <c r="AC52" s="101">
        <v>1252313252</v>
      </c>
      <c r="AD52" s="102">
        <v>1052050623</v>
      </c>
      <c r="AE52" s="102">
        <f t="shared" si="19"/>
        <v>200262629</v>
      </c>
      <c r="AF52" s="102">
        <f t="shared" ref="AF52:AF57" si="20">AE52/AD52*100</f>
        <v>19.035455578072501</v>
      </c>
      <c r="AG52" s="173"/>
      <c r="AH52" s="182"/>
    </row>
    <row r="53" spans="2:34" ht="15.75">
      <c r="B53" s="96">
        <v>2009</v>
      </c>
      <c r="C53" s="101">
        <f t="shared" si="15"/>
        <v>656055084</v>
      </c>
      <c r="D53" s="110">
        <v>1315395458</v>
      </c>
      <c r="E53" s="102">
        <f t="shared" si="16"/>
        <v>0.49875121584918836</v>
      </c>
      <c r="F53" s="173"/>
      <c r="G53" s="173"/>
      <c r="K53" s="96">
        <v>2008</v>
      </c>
      <c r="L53" s="101">
        <v>200000000</v>
      </c>
      <c r="M53" s="109">
        <v>1145330936</v>
      </c>
      <c r="N53" s="102">
        <f t="shared" si="17"/>
        <v>0.17462201859183868</v>
      </c>
      <c r="O53" s="173"/>
      <c r="P53" s="173"/>
      <c r="S53" s="96">
        <v>2008</v>
      </c>
      <c r="T53" s="101">
        <v>331558769</v>
      </c>
      <c r="U53" s="109">
        <v>1145330936</v>
      </c>
      <c r="V53" s="102">
        <f t="shared" si="18"/>
        <v>0.28948730762302571</v>
      </c>
      <c r="W53" s="173"/>
      <c r="X53" s="173"/>
      <c r="AB53" s="96">
        <v>2008</v>
      </c>
      <c r="AC53" s="102">
        <v>1145330936</v>
      </c>
      <c r="AD53" s="101">
        <v>1252313252</v>
      </c>
      <c r="AE53" s="102">
        <f t="shared" si="19"/>
        <v>-106982316</v>
      </c>
      <c r="AF53" s="102">
        <f t="shared" si="20"/>
        <v>-8.5427760050566004</v>
      </c>
      <c r="AG53" s="173"/>
      <c r="AH53" s="182"/>
    </row>
    <row r="54" spans="2:34" ht="15.75">
      <c r="B54" s="96">
        <v>2010</v>
      </c>
      <c r="C54" s="101">
        <f t="shared" si="15"/>
        <v>593083000</v>
      </c>
      <c r="D54" s="109">
        <v>1473129700</v>
      </c>
      <c r="E54" s="102">
        <f t="shared" si="16"/>
        <v>0.40260066713745574</v>
      </c>
      <c r="F54" s="173"/>
      <c r="G54" s="173"/>
      <c r="K54" s="96">
        <v>2009</v>
      </c>
      <c r="L54" s="101">
        <v>133332000</v>
      </c>
      <c r="M54" s="110">
        <v>1315395458</v>
      </c>
      <c r="N54" s="102">
        <f t="shared" si="17"/>
        <v>0.10136267324712019</v>
      </c>
      <c r="O54" s="173"/>
      <c r="P54" s="173"/>
      <c r="S54" s="96">
        <v>2009</v>
      </c>
      <c r="T54" s="101">
        <v>522723084</v>
      </c>
      <c r="U54" s="110">
        <v>1315395458</v>
      </c>
      <c r="V54" s="102">
        <f t="shared" si="18"/>
        <v>0.39738854260206818</v>
      </c>
      <c r="W54" s="173"/>
      <c r="X54" s="173"/>
      <c r="AB54" s="96">
        <v>2009</v>
      </c>
      <c r="AC54" s="101">
        <v>1315395458</v>
      </c>
      <c r="AD54" s="102">
        <v>1145330936</v>
      </c>
      <c r="AE54" s="102">
        <f t="shared" si="19"/>
        <v>170064522</v>
      </c>
      <c r="AF54" s="102">
        <f t="shared" si="20"/>
        <v>14.84850506124808</v>
      </c>
      <c r="AG54" s="173"/>
      <c r="AH54" s="182"/>
    </row>
    <row r="55" spans="2:34" ht="15.75">
      <c r="B55" s="96">
        <v>2011</v>
      </c>
      <c r="C55" s="101">
        <f t="shared" si="15"/>
        <v>695390747</v>
      </c>
      <c r="D55" s="109">
        <v>1797929501</v>
      </c>
      <c r="E55" s="102">
        <f t="shared" si="16"/>
        <v>0.38677308905228314</v>
      </c>
      <c r="F55" s="173"/>
      <c r="G55" s="173"/>
      <c r="K55" s="96">
        <v>2010</v>
      </c>
      <c r="L55" s="101">
        <v>79957000</v>
      </c>
      <c r="M55" s="109">
        <v>1473129700</v>
      </c>
      <c r="N55" s="102">
        <f t="shared" si="17"/>
        <v>5.4276958776949512E-2</v>
      </c>
      <c r="O55" s="173"/>
      <c r="P55" s="173"/>
      <c r="S55" s="96">
        <v>2010</v>
      </c>
      <c r="T55" s="101">
        <v>513126000</v>
      </c>
      <c r="U55" s="109">
        <v>1473129700</v>
      </c>
      <c r="V55" s="102">
        <f t="shared" si="18"/>
        <v>0.34832370836050619</v>
      </c>
      <c r="W55" s="173"/>
      <c r="X55" s="173"/>
      <c r="AB55" s="96">
        <v>2010</v>
      </c>
      <c r="AC55" s="102">
        <v>1473129700</v>
      </c>
      <c r="AD55" s="101">
        <v>1315395458</v>
      </c>
      <c r="AE55" s="102">
        <f t="shared" si="19"/>
        <v>157734242</v>
      </c>
      <c r="AF55" s="102">
        <f t="shared" si="20"/>
        <v>11.991393237728513</v>
      </c>
      <c r="AG55" s="173"/>
      <c r="AH55" s="182"/>
    </row>
    <row r="56" spans="2:34" ht="15.75">
      <c r="B56" s="96">
        <v>2012</v>
      </c>
      <c r="C56" s="101">
        <f t="shared" si="15"/>
        <v>613866720</v>
      </c>
      <c r="D56" s="109">
        <v>1953308171</v>
      </c>
      <c r="E56" s="102">
        <f t="shared" si="16"/>
        <v>0.31427028725617306</v>
      </c>
      <c r="F56" s="174"/>
      <c r="G56" s="174"/>
      <c r="K56" s="96">
        <v>2011</v>
      </c>
      <c r="L56" s="101">
        <v>7955317</v>
      </c>
      <c r="M56" s="109">
        <v>1797929501</v>
      </c>
      <c r="N56" s="102">
        <f>L56/M56</f>
        <v>4.4247101989122991E-3</v>
      </c>
      <c r="O56" s="173"/>
      <c r="P56" s="173"/>
      <c r="S56" s="96">
        <v>2011</v>
      </c>
      <c r="T56" s="101">
        <v>687435430</v>
      </c>
      <c r="U56" s="109">
        <v>1797929501</v>
      </c>
      <c r="V56" s="102">
        <f>T56/U56</f>
        <v>0.38234837885337086</v>
      </c>
      <c r="W56" s="173"/>
      <c r="X56" s="173"/>
      <c r="AB56" s="96">
        <v>2011</v>
      </c>
      <c r="AC56" s="102">
        <v>1797929501</v>
      </c>
      <c r="AD56" s="102">
        <v>1473129700</v>
      </c>
      <c r="AE56" s="102">
        <f t="shared" si="19"/>
        <v>324799801</v>
      </c>
      <c r="AF56" s="102">
        <f t="shared" si="20"/>
        <v>22.048282714006785</v>
      </c>
      <c r="AG56" s="173"/>
      <c r="AH56" s="182"/>
    </row>
    <row r="57" spans="2:34" ht="15.75">
      <c r="K57" s="96">
        <v>2012</v>
      </c>
      <c r="L57" s="101">
        <f>SUM(6889253+8697243)</f>
        <v>15586496</v>
      </c>
      <c r="M57" s="102">
        <v>1953308171</v>
      </c>
      <c r="N57" s="102">
        <f t="shared" si="17"/>
        <v>7.9795376026203079E-3</v>
      </c>
      <c r="O57" s="174"/>
      <c r="P57" s="174"/>
      <c r="S57" s="96">
        <v>2012</v>
      </c>
      <c r="T57" s="101">
        <v>598280224</v>
      </c>
      <c r="U57" s="109">
        <v>1953308171</v>
      </c>
      <c r="V57" s="102">
        <f t="shared" ref="V57" si="21">T57/U57</f>
        <v>0.30629074965355274</v>
      </c>
      <c r="W57" s="174"/>
      <c r="X57" s="174"/>
      <c r="AB57" s="96">
        <v>2012</v>
      </c>
      <c r="AC57" s="102">
        <v>1953308171</v>
      </c>
      <c r="AD57" s="102">
        <v>1797929501</v>
      </c>
      <c r="AE57" s="102">
        <f t="shared" si="19"/>
        <v>155378670</v>
      </c>
      <c r="AF57" s="102">
        <f t="shared" si="20"/>
        <v>8.6420891316138437</v>
      </c>
      <c r="AG57" s="174"/>
      <c r="AH57" s="183"/>
    </row>
    <row r="58" spans="2:34" ht="15.75">
      <c r="B58" s="171" t="s">
        <v>49</v>
      </c>
      <c r="C58" s="171"/>
      <c r="D58" s="171"/>
      <c r="E58" s="171"/>
      <c r="F58" s="171"/>
      <c r="G58" s="171"/>
    </row>
    <row r="59" spans="2:34" ht="15.75">
      <c r="B59" s="96" t="s">
        <v>67</v>
      </c>
      <c r="C59" s="96" t="s">
        <v>61</v>
      </c>
      <c r="D59" s="96" t="s">
        <v>62</v>
      </c>
      <c r="E59" s="96" t="s">
        <v>63</v>
      </c>
      <c r="F59" s="96" t="s">
        <v>64</v>
      </c>
      <c r="G59" s="96" t="s">
        <v>65</v>
      </c>
    </row>
    <row r="60" spans="2:34" ht="15.75">
      <c r="B60" s="96">
        <v>2005</v>
      </c>
      <c r="C60" s="112">
        <v>74304034</v>
      </c>
      <c r="D60" s="103">
        <v>128173647</v>
      </c>
      <c r="E60" s="102">
        <f>C60/D60</f>
        <v>0.57971381589852089</v>
      </c>
      <c r="F60" s="172">
        <f>SUM(E60:E67)/8</f>
        <v>0.63683774146966932</v>
      </c>
      <c r="G60" s="172">
        <f>STDEV(E60,E61,E62,E63,E64,E65,E66,E67)</f>
        <v>3.7037120363448417E-2</v>
      </c>
      <c r="K60" s="171" t="s">
        <v>49</v>
      </c>
      <c r="L60" s="171"/>
      <c r="M60" s="171"/>
      <c r="N60" s="171"/>
      <c r="O60" s="171"/>
      <c r="P60" s="171"/>
      <c r="S60" s="171" t="s">
        <v>49</v>
      </c>
      <c r="T60" s="171"/>
      <c r="U60" s="171"/>
      <c r="V60" s="171"/>
      <c r="W60" s="171"/>
      <c r="X60" s="171"/>
      <c r="AB60" s="165" t="s">
        <v>49</v>
      </c>
      <c r="AC60" s="166"/>
      <c r="AD60" s="166"/>
      <c r="AE60" s="166"/>
      <c r="AF60" s="166"/>
      <c r="AG60" s="166"/>
      <c r="AH60" s="167"/>
    </row>
    <row r="61" spans="2:34" ht="15.75">
      <c r="B61" s="96">
        <v>2006</v>
      </c>
      <c r="C61" s="112">
        <v>95459530</v>
      </c>
      <c r="D61" s="102">
        <v>146606658</v>
      </c>
      <c r="E61" s="102">
        <f t="shared" ref="E61:E67" si="22">C61/D61</f>
        <v>0.65112684036491708</v>
      </c>
      <c r="F61" s="173"/>
      <c r="G61" s="173"/>
      <c r="K61" s="96" t="s">
        <v>67</v>
      </c>
      <c r="L61" s="96" t="s">
        <v>74</v>
      </c>
      <c r="M61" s="96" t="s">
        <v>62</v>
      </c>
      <c r="N61" s="96" t="s">
        <v>63</v>
      </c>
      <c r="O61" s="96" t="s">
        <v>64</v>
      </c>
      <c r="P61" s="96" t="s">
        <v>65</v>
      </c>
      <c r="S61" s="96" t="s">
        <v>67</v>
      </c>
      <c r="T61" s="96" t="s">
        <v>77</v>
      </c>
      <c r="U61" s="96" t="s">
        <v>62</v>
      </c>
      <c r="V61" s="96" t="s">
        <v>63</v>
      </c>
      <c r="W61" s="96" t="s">
        <v>64</v>
      </c>
      <c r="X61" s="96" t="s">
        <v>65</v>
      </c>
      <c r="AB61" s="96" t="s">
        <v>67</v>
      </c>
      <c r="AC61" s="96" t="s">
        <v>84</v>
      </c>
      <c r="AD61" s="96" t="s">
        <v>85</v>
      </c>
      <c r="AE61" s="96" t="s">
        <v>86</v>
      </c>
      <c r="AF61" s="96" t="s">
        <v>87</v>
      </c>
      <c r="AG61" s="96" t="s">
        <v>64</v>
      </c>
      <c r="AH61" s="118" t="s">
        <v>65</v>
      </c>
    </row>
    <row r="62" spans="2:34" ht="15.75">
      <c r="B62" s="96">
        <v>2007</v>
      </c>
      <c r="C62" s="112">
        <v>90168528.200000003</v>
      </c>
      <c r="D62" s="1">
        <v>142298098.94999999</v>
      </c>
      <c r="E62" s="102">
        <f t="shared" si="22"/>
        <v>0.63365940139286736</v>
      </c>
      <c r="F62" s="173"/>
      <c r="G62" s="173"/>
      <c r="K62" s="96">
        <v>2005</v>
      </c>
      <c r="L62" s="101">
        <v>0</v>
      </c>
      <c r="M62" s="103">
        <v>128173647</v>
      </c>
      <c r="N62" s="102">
        <f>L62/M62</f>
        <v>0</v>
      </c>
      <c r="O62" s="172">
        <v>0</v>
      </c>
      <c r="P62" s="172">
        <f>STDEV(N62,N63,N64,N65,N66,N67,N68,N69)</f>
        <v>0</v>
      </c>
      <c r="S62" s="96">
        <v>2005</v>
      </c>
      <c r="T62" s="112">
        <v>74304034</v>
      </c>
      <c r="U62" s="108">
        <v>128173647</v>
      </c>
      <c r="V62" s="102">
        <f>T62/U62</f>
        <v>0.57971381589852089</v>
      </c>
      <c r="W62" s="172">
        <f>SUM(V62:V69)/8</f>
        <v>0.63683774146966932</v>
      </c>
      <c r="X62" s="172">
        <f>STDEV(V62,V63,V64,V65,V66,V67,V68,V69)</f>
        <v>3.7037120363448417E-2</v>
      </c>
      <c r="AB62" s="96">
        <v>2005</v>
      </c>
      <c r="AC62" s="108">
        <v>128173647</v>
      </c>
      <c r="AD62" s="112">
        <v>116850033</v>
      </c>
      <c r="AE62" s="102">
        <f>SUM(AC62-AD62)</f>
        <v>11323614</v>
      </c>
      <c r="AF62" s="102">
        <f>AE62/AD62*100</f>
        <v>9.6907238357390977</v>
      </c>
      <c r="AG62" s="172">
        <f>SUM(AF62:AF69)/8</f>
        <v>10.173691526980267</v>
      </c>
      <c r="AH62" s="181">
        <f>STDEV(AF62,AF63,AF64,AF65,AF66,AF67,AF68,AF69)</f>
        <v>15.685036398366952</v>
      </c>
    </row>
    <row r="63" spans="2:34" ht="15.75">
      <c r="B63" s="96">
        <v>2008</v>
      </c>
      <c r="C63" s="112">
        <v>95412531.420000002</v>
      </c>
      <c r="D63" s="102">
        <v>151253119.41000003</v>
      </c>
      <c r="E63" s="102">
        <f t="shared" si="22"/>
        <v>0.63081364399081508</v>
      </c>
      <c r="F63" s="173"/>
      <c r="G63" s="173"/>
      <c r="K63" s="96">
        <v>2006</v>
      </c>
      <c r="L63" s="74">
        <v>0</v>
      </c>
      <c r="M63" s="102">
        <v>146606658</v>
      </c>
      <c r="N63" s="102">
        <f t="shared" ref="N63:N69" si="23">L63/M63</f>
        <v>0</v>
      </c>
      <c r="O63" s="173"/>
      <c r="P63" s="173"/>
      <c r="S63" s="96">
        <v>2006</v>
      </c>
      <c r="T63" s="112">
        <v>95459530</v>
      </c>
      <c r="U63" s="109">
        <v>146606658</v>
      </c>
      <c r="V63" s="102">
        <f t="shared" ref="V63:V69" si="24">T63/U63</f>
        <v>0.65112684036491708</v>
      </c>
      <c r="W63" s="173"/>
      <c r="X63" s="173"/>
      <c r="AB63" s="96">
        <v>2006</v>
      </c>
      <c r="AC63" s="109">
        <v>146606658</v>
      </c>
      <c r="AD63" s="108">
        <v>128173647</v>
      </c>
      <c r="AE63" s="102">
        <f t="shared" ref="AE63:AE69" si="25">SUM(AC63-AD63)</f>
        <v>18433011</v>
      </c>
      <c r="AF63" s="102">
        <f>AE63/AD63*100</f>
        <v>14.381279952188612</v>
      </c>
      <c r="AG63" s="173"/>
      <c r="AH63" s="182"/>
    </row>
    <row r="64" spans="2:34" ht="15.75">
      <c r="B64" s="96">
        <v>2009</v>
      </c>
      <c r="C64" s="101">
        <v>115634909</v>
      </c>
      <c r="D64" s="104">
        <v>175307715</v>
      </c>
      <c r="E64" s="102">
        <f t="shared" si="22"/>
        <v>0.65961106731668939</v>
      </c>
      <c r="F64" s="173"/>
      <c r="G64" s="173"/>
      <c r="K64" s="96">
        <v>2007</v>
      </c>
      <c r="L64" s="102">
        <v>0</v>
      </c>
      <c r="M64" s="1">
        <v>142298098.94999999</v>
      </c>
      <c r="N64" s="102">
        <f t="shared" si="23"/>
        <v>0</v>
      </c>
      <c r="O64" s="173"/>
      <c r="P64" s="173"/>
      <c r="S64" s="96">
        <v>2007</v>
      </c>
      <c r="T64" s="112">
        <v>90168528.200000003</v>
      </c>
      <c r="U64" s="1">
        <v>142298098.94999999</v>
      </c>
      <c r="V64" s="102">
        <f t="shared" si="24"/>
        <v>0.63365940139286736</v>
      </c>
      <c r="W64" s="173"/>
      <c r="X64" s="173"/>
      <c r="AB64" s="96">
        <v>2007</v>
      </c>
      <c r="AC64" s="1">
        <v>142298098.94999999</v>
      </c>
      <c r="AD64" s="109">
        <v>146606658</v>
      </c>
      <c r="AE64" s="102">
        <f t="shared" si="25"/>
        <v>-4308559.0500000119</v>
      </c>
      <c r="AF64" s="102">
        <f t="shared" ref="AF64:AF69" si="26">AE64/AD64*100</f>
        <v>-2.9388563307950255</v>
      </c>
      <c r="AG64" s="173"/>
      <c r="AH64" s="182"/>
    </row>
    <row r="65" spans="2:34" ht="15.75">
      <c r="B65" s="96">
        <v>2010</v>
      </c>
      <c r="C65" s="101">
        <v>158157822</v>
      </c>
      <c r="D65" s="102">
        <v>227447161</v>
      </c>
      <c r="E65" s="102">
        <f t="shared" si="22"/>
        <v>0.69536072160513795</v>
      </c>
      <c r="F65" s="173"/>
      <c r="G65" s="173"/>
      <c r="K65" s="96">
        <v>2008</v>
      </c>
      <c r="L65" s="102">
        <v>0</v>
      </c>
      <c r="M65" s="102">
        <v>151253119.41000003</v>
      </c>
      <c r="N65" s="102">
        <f t="shared" si="23"/>
        <v>0</v>
      </c>
      <c r="O65" s="173"/>
      <c r="P65" s="173"/>
      <c r="S65" s="96">
        <v>2008</v>
      </c>
      <c r="T65" s="112">
        <v>95412531.420000002</v>
      </c>
      <c r="U65" s="109">
        <v>151253119.41000003</v>
      </c>
      <c r="V65" s="102">
        <f t="shared" si="24"/>
        <v>0.63081364399081508</v>
      </c>
      <c r="W65" s="173"/>
      <c r="X65" s="173"/>
      <c r="AB65" s="96">
        <v>2008</v>
      </c>
      <c r="AC65" s="109">
        <v>151253119.41000003</v>
      </c>
      <c r="AD65" s="1">
        <v>142298098.94999999</v>
      </c>
      <c r="AE65" s="102">
        <f t="shared" si="25"/>
        <v>8955020.4600000381</v>
      </c>
      <c r="AF65" s="102">
        <f t="shared" si="26"/>
        <v>6.2931413181750298</v>
      </c>
      <c r="AG65" s="173"/>
      <c r="AH65" s="182"/>
    </row>
    <row r="66" spans="2:34" ht="15.75">
      <c r="B66" s="96">
        <v>2011</v>
      </c>
      <c r="C66" s="101">
        <v>109873613</v>
      </c>
      <c r="D66" s="102">
        <v>185312849</v>
      </c>
      <c r="E66" s="102">
        <f t="shared" si="22"/>
        <v>0.59290876802611781</v>
      </c>
      <c r="F66" s="173"/>
      <c r="G66" s="173"/>
      <c r="K66" s="96">
        <v>2009</v>
      </c>
      <c r="L66" s="102">
        <v>0</v>
      </c>
      <c r="M66" s="104">
        <v>175307715</v>
      </c>
      <c r="N66" s="102">
        <f t="shared" si="23"/>
        <v>0</v>
      </c>
      <c r="O66" s="173"/>
      <c r="P66" s="173"/>
      <c r="S66" s="96">
        <v>2009</v>
      </c>
      <c r="T66" s="101">
        <v>115634909</v>
      </c>
      <c r="U66" s="110">
        <v>175307715</v>
      </c>
      <c r="V66" s="102">
        <f t="shared" si="24"/>
        <v>0.65961106731668939</v>
      </c>
      <c r="W66" s="173"/>
      <c r="X66" s="173"/>
      <c r="AB66" s="96">
        <v>2009</v>
      </c>
      <c r="AC66" s="110">
        <v>175307715</v>
      </c>
      <c r="AD66" s="109">
        <v>151253119.41000003</v>
      </c>
      <c r="AE66" s="102">
        <f t="shared" si="25"/>
        <v>24054595.589999974</v>
      </c>
      <c r="AF66" s="102">
        <f t="shared" si="26"/>
        <v>15.903536855194019</v>
      </c>
      <c r="AG66" s="173"/>
      <c r="AH66" s="182"/>
    </row>
    <row r="67" spans="2:34" ht="15.75">
      <c r="B67" s="96">
        <v>2012</v>
      </c>
      <c r="C67" s="101">
        <v>153140929</v>
      </c>
      <c r="D67" s="102">
        <v>235056217</v>
      </c>
      <c r="E67" s="102">
        <f t="shared" si="22"/>
        <v>0.65150767316228864</v>
      </c>
      <c r="F67" s="174"/>
      <c r="G67" s="174"/>
      <c r="K67" s="96">
        <v>2010</v>
      </c>
      <c r="L67" s="102">
        <v>0</v>
      </c>
      <c r="M67" s="102">
        <v>227447161</v>
      </c>
      <c r="N67" s="102">
        <f t="shared" si="23"/>
        <v>0</v>
      </c>
      <c r="O67" s="173"/>
      <c r="P67" s="173"/>
      <c r="S67" s="96">
        <v>2010</v>
      </c>
      <c r="T67" s="101">
        <v>158157822</v>
      </c>
      <c r="U67" s="109">
        <v>227447161</v>
      </c>
      <c r="V67" s="102">
        <f t="shared" si="24"/>
        <v>0.69536072160513795</v>
      </c>
      <c r="W67" s="173"/>
      <c r="X67" s="173"/>
      <c r="AB67" s="96">
        <v>2010</v>
      </c>
      <c r="AC67" s="109">
        <v>227447161</v>
      </c>
      <c r="AD67" s="110">
        <v>175307715</v>
      </c>
      <c r="AE67" s="102">
        <f t="shared" si="25"/>
        <v>52139446</v>
      </c>
      <c r="AF67" s="102">
        <f t="shared" si="26"/>
        <v>29.741672236159143</v>
      </c>
      <c r="AG67" s="173"/>
      <c r="AH67" s="182"/>
    </row>
    <row r="68" spans="2:34" ht="15.75">
      <c r="K68" s="96">
        <v>2011</v>
      </c>
      <c r="L68" s="102">
        <v>0</v>
      </c>
      <c r="M68" s="102">
        <v>185312849</v>
      </c>
      <c r="N68" s="102">
        <f t="shared" si="23"/>
        <v>0</v>
      </c>
      <c r="O68" s="173"/>
      <c r="P68" s="173"/>
      <c r="S68" s="96">
        <v>2011</v>
      </c>
      <c r="T68" s="101">
        <v>109873613</v>
      </c>
      <c r="U68" s="109">
        <v>185312849</v>
      </c>
      <c r="V68" s="102">
        <f t="shared" si="24"/>
        <v>0.59290876802611781</v>
      </c>
      <c r="W68" s="173"/>
      <c r="X68" s="173"/>
      <c r="AB68" s="96">
        <v>2011</v>
      </c>
      <c r="AC68" s="109">
        <v>185312849</v>
      </c>
      <c r="AD68" s="109">
        <v>227447161</v>
      </c>
      <c r="AE68" s="102">
        <f t="shared" si="25"/>
        <v>-42134312</v>
      </c>
      <c r="AF68" s="102">
        <f t="shared" si="26"/>
        <v>-18.524879279543967</v>
      </c>
      <c r="AG68" s="173"/>
      <c r="AH68" s="182"/>
    </row>
    <row r="69" spans="2:34" ht="15.75">
      <c r="B69" s="171" t="s">
        <v>71</v>
      </c>
      <c r="C69" s="171"/>
      <c r="D69" s="171"/>
      <c r="E69" s="171"/>
      <c r="F69" s="171"/>
      <c r="G69" s="171"/>
      <c r="K69" s="96">
        <v>2012</v>
      </c>
      <c r="L69" s="102">
        <v>0</v>
      </c>
      <c r="M69" s="102">
        <v>235056217</v>
      </c>
      <c r="N69" s="102">
        <f t="shared" si="23"/>
        <v>0</v>
      </c>
      <c r="O69" s="174"/>
      <c r="P69" s="174"/>
      <c r="S69" s="96">
        <v>2012</v>
      </c>
      <c r="T69" s="101">
        <v>153140929</v>
      </c>
      <c r="U69" s="109">
        <v>235056217</v>
      </c>
      <c r="V69" s="102">
        <f t="shared" si="24"/>
        <v>0.65150767316228864</v>
      </c>
      <c r="W69" s="174"/>
      <c r="X69" s="174"/>
      <c r="AB69" s="96">
        <v>2012</v>
      </c>
      <c r="AC69" s="109">
        <v>235056217</v>
      </c>
      <c r="AD69" s="109">
        <v>185312849</v>
      </c>
      <c r="AE69" s="102">
        <f t="shared" si="25"/>
        <v>49743368</v>
      </c>
      <c r="AF69" s="102">
        <f t="shared" si="26"/>
        <v>26.842913628725228</v>
      </c>
      <c r="AG69" s="174"/>
      <c r="AH69" s="183"/>
    </row>
    <row r="70" spans="2:34" ht="15.75">
      <c r="B70" s="96" t="s">
        <v>67</v>
      </c>
      <c r="C70" s="96" t="s">
        <v>61</v>
      </c>
      <c r="D70" s="96" t="s">
        <v>62</v>
      </c>
      <c r="E70" s="96" t="s">
        <v>63</v>
      </c>
      <c r="F70" s="96" t="s">
        <v>64</v>
      </c>
      <c r="G70" s="96" t="s">
        <v>65</v>
      </c>
    </row>
    <row r="71" spans="2:34" ht="15.75">
      <c r="B71" s="96">
        <v>2005</v>
      </c>
      <c r="C71" s="101">
        <v>3882723000</v>
      </c>
      <c r="D71" s="103">
        <v>35572772000</v>
      </c>
      <c r="E71" s="102">
        <f>C71/D71</f>
        <v>0.10914873319402829</v>
      </c>
      <c r="F71" s="172">
        <f>SUM(E71:E78)/8</f>
        <v>0.20863024607720604</v>
      </c>
      <c r="G71" s="172">
        <f>STDEV(E71,E72,E73,E74,E75,E76,E77,E78)</f>
        <v>9.636289550911005E-2</v>
      </c>
    </row>
    <row r="72" spans="2:34" ht="15.75">
      <c r="B72" s="96">
        <v>2006</v>
      </c>
      <c r="C72" s="74">
        <v>4475753000</v>
      </c>
      <c r="D72" s="102">
        <v>39351406000</v>
      </c>
      <c r="E72" s="102">
        <f t="shared" ref="E72:E78" si="27">C72/D72</f>
        <v>0.11373807075660779</v>
      </c>
      <c r="F72" s="173"/>
      <c r="G72" s="173"/>
      <c r="K72" s="171" t="s">
        <v>71</v>
      </c>
      <c r="L72" s="171"/>
      <c r="M72" s="171"/>
      <c r="N72" s="171"/>
      <c r="O72" s="171"/>
      <c r="P72" s="171"/>
      <c r="S72" s="171" t="s">
        <v>71</v>
      </c>
      <c r="T72" s="171"/>
      <c r="U72" s="171"/>
      <c r="V72" s="171"/>
      <c r="W72" s="171"/>
      <c r="X72" s="171"/>
      <c r="AB72" s="165" t="s">
        <v>71</v>
      </c>
      <c r="AC72" s="166"/>
      <c r="AD72" s="166"/>
      <c r="AE72" s="166"/>
      <c r="AF72" s="166"/>
      <c r="AG72" s="166"/>
      <c r="AH72" s="167"/>
    </row>
    <row r="73" spans="2:34" ht="15.75">
      <c r="B73" s="96">
        <v>2007</v>
      </c>
      <c r="C73" s="102">
        <v>6903975482</v>
      </c>
      <c r="D73" s="1">
        <v>43661114562</v>
      </c>
      <c r="E73" s="102">
        <f t="shared" si="27"/>
        <v>0.15812641411607031</v>
      </c>
      <c r="F73" s="173"/>
      <c r="G73" s="173"/>
      <c r="K73" s="96" t="s">
        <v>67</v>
      </c>
      <c r="L73" s="96" t="s">
        <v>74</v>
      </c>
      <c r="M73" s="96" t="s">
        <v>62</v>
      </c>
      <c r="N73" s="96" t="s">
        <v>63</v>
      </c>
      <c r="O73" s="96" t="s">
        <v>64</v>
      </c>
      <c r="P73" s="96" t="s">
        <v>65</v>
      </c>
      <c r="S73" s="96" t="s">
        <v>67</v>
      </c>
      <c r="T73" s="96" t="s">
        <v>77</v>
      </c>
      <c r="U73" s="96" t="s">
        <v>62</v>
      </c>
      <c r="V73" s="96" t="s">
        <v>63</v>
      </c>
      <c r="W73" s="96" t="s">
        <v>64</v>
      </c>
      <c r="X73" s="96" t="s">
        <v>65</v>
      </c>
      <c r="AB73" s="96" t="s">
        <v>67</v>
      </c>
      <c r="AC73" s="96" t="s">
        <v>84</v>
      </c>
      <c r="AD73" s="96" t="s">
        <v>85</v>
      </c>
      <c r="AE73" s="96" t="s">
        <v>86</v>
      </c>
      <c r="AF73" s="96" t="s">
        <v>87</v>
      </c>
      <c r="AG73" s="96" t="s">
        <v>64</v>
      </c>
      <c r="AH73" s="118" t="s">
        <v>65</v>
      </c>
    </row>
    <row r="74" spans="2:34" ht="15.75">
      <c r="B74" s="96">
        <v>2008</v>
      </c>
      <c r="C74" s="102">
        <v>9973771283</v>
      </c>
      <c r="D74" s="102">
        <v>50194186870</v>
      </c>
      <c r="E74" s="102">
        <f t="shared" si="27"/>
        <v>0.1987037126197797</v>
      </c>
      <c r="F74" s="173"/>
      <c r="G74" s="173"/>
      <c r="K74" s="96">
        <v>2005</v>
      </c>
      <c r="L74" s="101">
        <v>24239000</v>
      </c>
      <c r="M74" s="108">
        <v>35572772000</v>
      </c>
      <c r="N74" s="102">
        <f>L74/M74</f>
        <v>6.8139193650694409E-4</v>
      </c>
      <c r="O74" s="172">
        <v>9.8101237786651002E-2</v>
      </c>
      <c r="P74" s="172">
        <f>STDEV(N74,N75,N76,N77,N78,N79,N80,N81)</f>
        <v>0.10715548762126299</v>
      </c>
      <c r="S74" s="96">
        <v>2005</v>
      </c>
      <c r="T74" s="101">
        <v>3858484000</v>
      </c>
      <c r="U74" s="108">
        <v>35572772000</v>
      </c>
      <c r="V74" s="102">
        <f>T74/U74</f>
        <v>0.10846734125752135</v>
      </c>
      <c r="W74" s="172">
        <f>SUM(V74:V81)/8</f>
        <v>0.11052892229854093</v>
      </c>
      <c r="X74" s="172">
        <f>STDEV(V74,V75,V76,V77,V78,V79,V80,V81)</f>
        <v>1.5599079538106186E-2</v>
      </c>
      <c r="AB74" s="96">
        <v>2005</v>
      </c>
      <c r="AC74" s="108">
        <v>35572772000</v>
      </c>
      <c r="AD74" s="112">
        <v>33221351590</v>
      </c>
      <c r="AE74" s="102">
        <f>SUM(AC74-AD74)</f>
        <v>2351420410</v>
      </c>
      <c r="AF74" s="102">
        <f>AE74/AD74*100</f>
        <v>7.0780395663004994</v>
      </c>
      <c r="AG74" s="172">
        <f>SUM(AF74:AF81)/8</f>
        <v>16.020712585445654</v>
      </c>
      <c r="AH74" s="181">
        <f>STDEV(AF74,AF75,AF76,AF77,AF78,AF79,AF80,AF81)</f>
        <v>11.180833176615993</v>
      </c>
    </row>
    <row r="75" spans="2:34" ht="15.75">
      <c r="B75" s="96">
        <v>2009</v>
      </c>
      <c r="C75" s="102">
        <v>11369659169</v>
      </c>
      <c r="D75" s="104">
        <v>58686689120</v>
      </c>
      <c r="E75" s="102">
        <f t="shared" si="27"/>
        <v>0.19373488843018241</v>
      </c>
      <c r="F75" s="173"/>
      <c r="G75" s="173"/>
      <c r="K75" s="96">
        <v>2006</v>
      </c>
      <c r="L75" s="101">
        <v>0</v>
      </c>
      <c r="M75" s="109">
        <v>39351406000</v>
      </c>
      <c r="N75" s="102">
        <f t="shared" ref="N75:N81" si="28">L75/M75</f>
        <v>0</v>
      </c>
      <c r="O75" s="173"/>
      <c r="P75" s="173"/>
      <c r="S75" s="96">
        <v>2006</v>
      </c>
      <c r="T75" s="101">
        <v>4475753000</v>
      </c>
      <c r="U75" s="109">
        <v>39351406000</v>
      </c>
      <c r="V75" s="102">
        <f t="shared" ref="V75:V81" si="29">T75/U75</f>
        <v>0.11373807075660779</v>
      </c>
      <c r="W75" s="173"/>
      <c r="X75" s="173"/>
      <c r="AB75" s="96">
        <v>2006</v>
      </c>
      <c r="AC75" s="109">
        <v>39351406000</v>
      </c>
      <c r="AD75" s="108">
        <v>35572772000</v>
      </c>
      <c r="AE75" s="102">
        <f t="shared" ref="AE75:AE81" si="30">SUM(AC75-AD75)</f>
        <v>3778634000</v>
      </c>
      <c r="AF75" s="102">
        <f>AE75/AD75*100</f>
        <v>10.622264691657989</v>
      </c>
      <c r="AG75" s="173"/>
      <c r="AH75" s="182"/>
    </row>
    <row r="76" spans="2:34" ht="15.75">
      <c r="B76" s="96">
        <v>2010</v>
      </c>
      <c r="C76" s="102">
        <v>12483302978</v>
      </c>
      <c r="D76" s="102">
        <v>66835844174</v>
      </c>
      <c r="E76" s="102">
        <f t="shared" si="27"/>
        <v>0.18677557128628541</v>
      </c>
      <c r="F76" s="173"/>
      <c r="G76" s="173"/>
      <c r="K76" s="96">
        <v>2007</v>
      </c>
      <c r="L76" s="101">
        <v>1191680000</v>
      </c>
      <c r="M76" s="1">
        <v>43661114562</v>
      </c>
      <c r="N76" s="102">
        <f t="shared" si="28"/>
        <v>2.7293852022668388E-2</v>
      </c>
      <c r="O76" s="173"/>
      <c r="P76" s="173"/>
      <c r="S76" s="96">
        <v>2007</v>
      </c>
      <c r="T76" s="101">
        <v>5712295482</v>
      </c>
      <c r="U76" s="1">
        <v>43661114562</v>
      </c>
      <c r="V76" s="102">
        <f t="shared" si="29"/>
        <v>0.13083256209340194</v>
      </c>
      <c r="W76" s="173"/>
      <c r="X76" s="173"/>
      <c r="AB76" s="96">
        <v>2007</v>
      </c>
      <c r="AC76" s="101">
        <v>43661114562</v>
      </c>
      <c r="AD76" s="109">
        <v>39351406000</v>
      </c>
      <c r="AE76" s="102">
        <f t="shared" si="30"/>
        <v>4309708562</v>
      </c>
      <c r="AF76" s="102">
        <f t="shared" ref="AF76:AF81" si="31">AE76/AD76*100</f>
        <v>10.951854076065286</v>
      </c>
      <c r="AG76" s="173"/>
      <c r="AH76" s="182"/>
    </row>
    <row r="77" spans="2:34" ht="15.75">
      <c r="B77" s="96">
        <v>2011</v>
      </c>
      <c r="C77" s="102">
        <v>34855036025</v>
      </c>
      <c r="D77" s="102">
        <v>95345636731</v>
      </c>
      <c r="E77" s="102">
        <f t="shared" si="27"/>
        <v>0.36556508740234239</v>
      </c>
      <c r="F77" s="173"/>
      <c r="G77" s="173"/>
      <c r="K77" s="96">
        <v>2008</v>
      </c>
      <c r="L77" s="101">
        <v>3495726321</v>
      </c>
      <c r="M77" s="109">
        <v>50194186870</v>
      </c>
      <c r="N77" s="102">
        <f t="shared" si="28"/>
        <v>6.9644047229089026E-2</v>
      </c>
      <c r="O77" s="173"/>
      <c r="P77" s="173"/>
      <c r="S77" s="96">
        <v>2008</v>
      </c>
      <c r="T77" s="101">
        <v>6478044962</v>
      </c>
      <c r="U77" s="109">
        <v>50194186870</v>
      </c>
      <c r="V77" s="102">
        <f t="shared" si="29"/>
        <v>0.12905966539069069</v>
      </c>
      <c r="W77" s="173"/>
      <c r="X77" s="173"/>
      <c r="AB77" s="96">
        <v>2008</v>
      </c>
      <c r="AC77" s="109">
        <v>50194186870</v>
      </c>
      <c r="AD77" s="1">
        <v>43661114562</v>
      </c>
      <c r="AE77" s="102">
        <f t="shared" si="30"/>
        <v>6533072308</v>
      </c>
      <c r="AF77" s="102">
        <f t="shared" si="31"/>
        <v>14.963136817597396</v>
      </c>
      <c r="AG77" s="173"/>
      <c r="AH77" s="182"/>
    </row>
    <row r="78" spans="2:34" ht="15.75">
      <c r="B78" s="96">
        <v>2012</v>
      </c>
      <c r="C78" s="102">
        <v>36356411945</v>
      </c>
      <c r="D78" s="102">
        <v>105918327392</v>
      </c>
      <c r="E78" s="102">
        <f t="shared" si="27"/>
        <v>0.34324949081235206</v>
      </c>
      <c r="F78" s="174"/>
      <c r="G78" s="174"/>
      <c r="K78" s="96">
        <v>2009</v>
      </c>
      <c r="L78" s="101">
        <v>4651604502</v>
      </c>
      <c r="M78" s="110">
        <v>58686689120</v>
      </c>
      <c r="N78" s="102">
        <f t="shared" si="28"/>
        <v>7.9261661745623449E-2</v>
      </c>
      <c r="O78" s="173"/>
      <c r="P78" s="173"/>
      <c r="S78" s="96">
        <v>2009</v>
      </c>
      <c r="T78" s="101">
        <v>6718054667</v>
      </c>
      <c r="U78" s="110">
        <v>58686689120</v>
      </c>
      <c r="V78" s="102">
        <f t="shared" si="29"/>
        <v>0.11447322668455896</v>
      </c>
      <c r="W78" s="173"/>
      <c r="X78" s="173"/>
      <c r="AB78" s="96">
        <v>2009</v>
      </c>
      <c r="AC78" s="110">
        <v>58686689120</v>
      </c>
      <c r="AD78" s="109">
        <v>50194186870</v>
      </c>
      <c r="AE78" s="102">
        <f t="shared" si="30"/>
        <v>8492502250</v>
      </c>
      <c r="AF78" s="102">
        <f t="shared" si="31"/>
        <v>16.919294403543347</v>
      </c>
      <c r="AG78" s="173"/>
      <c r="AH78" s="182"/>
    </row>
    <row r="79" spans="2:34" ht="15.75">
      <c r="K79" s="96">
        <v>2010</v>
      </c>
      <c r="L79" s="101">
        <v>5553967562</v>
      </c>
      <c r="M79" s="109">
        <v>66835844174</v>
      </c>
      <c r="N79" s="102">
        <f t="shared" si="28"/>
        <v>8.3098637125624347E-2</v>
      </c>
      <c r="O79" s="173"/>
      <c r="P79" s="173"/>
      <c r="S79" s="96">
        <v>2010</v>
      </c>
      <c r="T79" s="101">
        <v>6929335416</v>
      </c>
      <c r="U79" s="109">
        <v>66835844174</v>
      </c>
      <c r="V79" s="102">
        <f t="shared" si="29"/>
        <v>0.10367693416066105</v>
      </c>
      <c r="W79" s="173"/>
      <c r="X79" s="173"/>
      <c r="AB79" s="96">
        <v>2010</v>
      </c>
      <c r="AC79" s="109">
        <v>66835844174</v>
      </c>
      <c r="AD79" s="110">
        <v>58686689120</v>
      </c>
      <c r="AE79" s="102">
        <f t="shared" si="30"/>
        <v>8149155054</v>
      </c>
      <c r="AF79" s="102">
        <f t="shared" si="31"/>
        <v>13.885866073202665</v>
      </c>
      <c r="AG79" s="173"/>
      <c r="AH79" s="182"/>
    </row>
    <row r="80" spans="2:34" ht="15.75">
      <c r="K80" s="96">
        <v>2011</v>
      </c>
      <c r="L80" s="101">
        <v>26997016658</v>
      </c>
      <c r="M80" s="109">
        <v>95345636731</v>
      </c>
      <c r="N80" s="102">
        <f t="shared" si="28"/>
        <v>0.28314894717381844</v>
      </c>
      <c r="O80" s="173"/>
      <c r="P80" s="173"/>
      <c r="S80" s="96">
        <v>2011</v>
      </c>
      <c r="T80" s="101">
        <v>7858019367</v>
      </c>
      <c r="U80" s="109">
        <v>95345636731</v>
      </c>
      <c r="V80" s="102">
        <f t="shared" si="29"/>
        <v>8.2416140228523949E-2</v>
      </c>
      <c r="W80" s="173"/>
      <c r="X80" s="173"/>
      <c r="AB80" s="96">
        <v>2011</v>
      </c>
      <c r="AC80" s="109">
        <v>95345636731</v>
      </c>
      <c r="AD80" s="109">
        <v>66835844174</v>
      </c>
      <c r="AE80" s="102">
        <f t="shared" si="30"/>
        <v>28509792557</v>
      </c>
      <c r="AF80" s="102">
        <f t="shared" si="31"/>
        <v>42.656441179642755</v>
      </c>
      <c r="AG80" s="173"/>
      <c r="AH80" s="182"/>
    </row>
    <row r="81" spans="2:34" ht="15.75">
      <c r="K81" s="96">
        <v>2012</v>
      </c>
      <c r="L81" s="101">
        <v>25598558814</v>
      </c>
      <c r="M81" s="109">
        <v>105918327392</v>
      </c>
      <c r="N81" s="102">
        <f t="shared" si="28"/>
        <v>0.24168205299599035</v>
      </c>
      <c r="O81" s="174"/>
      <c r="P81" s="174"/>
      <c r="S81" s="96">
        <v>2012</v>
      </c>
      <c r="T81" s="101">
        <v>10757853131</v>
      </c>
      <c r="U81" s="109">
        <v>105918327392</v>
      </c>
      <c r="V81" s="102">
        <f t="shared" si="29"/>
        <v>0.1015674378163617</v>
      </c>
      <c r="W81" s="174"/>
      <c r="X81" s="174"/>
      <c r="AB81" s="96">
        <v>2012</v>
      </c>
      <c r="AC81" s="109">
        <v>105918327392</v>
      </c>
      <c r="AD81" s="109">
        <v>95345636731</v>
      </c>
      <c r="AE81" s="102">
        <f t="shared" si="30"/>
        <v>10572690661</v>
      </c>
      <c r="AF81" s="102">
        <f t="shared" si="31"/>
        <v>11.088803875555293</v>
      </c>
      <c r="AG81" s="174"/>
      <c r="AH81" s="183"/>
    </row>
    <row r="92" spans="2:34" ht="15.75">
      <c r="B92" s="157" t="s">
        <v>79</v>
      </c>
      <c r="C92" s="157"/>
      <c r="D92" s="157"/>
      <c r="E92" s="157"/>
      <c r="F92" s="157"/>
      <c r="G92" s="157"/>
      <c r="K92" s="157" t="s">
        <v>81</v>
      </c>
      <c r="L92" s="157"/>
      <c r="M92" s="157"/>
      <c r="N92" s="157"/>
      <c r="O92" s="157"/>
      <c r="P92" s="157"/>
      <c r="S92" s="157" t="s">
        <v>92</v>
      </c>
      <c r="T92" s="157"/>
      <c r="U92" s="157"/>
      <c r="V92" s="157"/>
      <c r="W92" s="157"/>
      <c r="X92" s="157"/>
    </row>
    <row r="94" spans="2:34" ht="15.75">
      <c r="B94" s="165" t="s">
        <v>0</v>
      </c>
      <c r="C94" s="166"/>
      <c r="D94" s="166"/>
      <c r="E94" s="166"/>
      <c r="F94" s="166"/>
      <c r="G94" s="167"/>
      <c r="K94" s="165" t="s">
        <v>0</v>
      </c>
      <c r="L94" s="166"/>
      <c r="M94" s="166"/>
      <c r="N94" s="166"/>
      <c r="O94" s="166"/>
      <c r="P94" s="167"/>
      <c r="S94" s="165" t="s">
        <v>0</v>
      </c>
      <c r="T94" s="166"/>
      <c r="U94" s="166"/>
      <c r="V94" s="166"/>
      <c r="W94" s="166"/>
      <c r="X94" s="167"/>
    </row>
    <row r="95" spans="2:34" ht="15.75">
      <c r="B95" s="96" t="s">
        <v>67</v>
      </c>
      <c r="C95" s="96" t="s">
        <v>78</v>
      </c>
      <c r="D95" s="96" t="s">
        <v>62</v>
      </c>
      <c r="E95" s="96" t="s">
        <v>63</v>
      </c>
      <c r="F95" s="96" t="s">
        <v>64</v>
      </c>
      <c r="G95" s="96" t="s">
        <v>65</v>
      </c>
      <c r="K95" s="96" t="s">
        <v>67</v>
      </c>
      <c r="L95" s="96" t="s">
        <v>82</v>
      </c>
      <c r="M95" s="96" t="s">
        <v>83</v>
      </c>
      <c r="N95" s="96" t="s">
        <v>63</v>
      </c>
      <c r="O95" s="96" t="s">
        <v>64</v>
      </c>
      <c r="P95" s="96" t="s">
        <v>65</v>
      </c>
      <c r="S95" s="96" t="s">
        <v>67</v>
      </c>
      <c r="T95" s="96" t="s">
        <v>89</v>
      </c>
      <c r="U95" s="96" t="s">
        <v>90</v>
      </c>
      <c r="V95" s="96" t="s">
        <v>91</v>
      </c>
      <c r="W95" s="96" t="s">
        <v>64</v>
      </c>
      <c r="X95" s="96" t="s">
        <v>65</v>
      </c>
    </row>
    <row r="96" spans="2:34" ht="15.75">
      <c r="B96" s="96">
        <v>2005</v>
      </c>
      <c r="C96" s="101">
        <v>1834917611</v>
      </c>
      <c r="D96" s="108">
        <v>3587774568</v>
      </c>
      <c r="E96" s="102">
        <f>C96/D96</f>
        <v>0.51143614968620288</v>
      </c>
      <c r="F96" s="172">
        <f>SUM(E96:E103)/8</f>
        <v>0.45056238730095205</v>
      </c>
      <c r="G96" s="172">
        <f>STDEV(E96,E97,E98,E99,E100,E101,E102,E103)</f>
        <v>4.8391393730427029E-2</v>
      </c>
      <c r="K96" s="96">
        <v>2005</v>
      </c>
      <c r="L96" s="115">
        <v>1752856957</v>
      </c>
      <c r="M96" s="101">
        <v>1654107328</v>
      </c>
      <c r="N96" s="102">
        <f>L96/M96</f>
        <v>1.0596996502756562</v>
      </c>
      <c r="O96" s="172">
        <f>SUM(N96:N103)/8</f>
        <v>1.0367128734416275</v>
      </c>
      <c r="P96" s="172">
        <f>STDEV(N96,N97,N98,N99,N100,N101,N102,N103)</f>
        <v>2.1314072270941422E-2</v>
      </c>
      <c r="S96" s="96">
        <v>2005</v>
      </c>
      <c r="T96" s="115">
        <v>49807981</v>
      </c>
      <c r="U96" s="101">
        <v>2193935368</v>
      </c>
      <c r="V96" s="102">
        <f>T96/U96*100</f>
        <v>2.2702574436094327</v>
      </c>
      <c r="W96" s="172">
        <f>SUM(V96:V103)/8</f>
        <v>0.57321573957252192</v>
      </c>
      <c r="X96" s="172">
        <f>STDEV(V96,V97,V98,V99,V100,V101,V102,V103)</f>
        <v>2.5182553044163685</v>
      </c>
    </row>
    <row r="97" spans="2:24" ht="15.75">
      <c r="B97" s="96">
        <v>2006</v>
      </c>
      <c r="C97" s="101">
        <v>1835329435</v>
      </c>
      <c r="D97" s="109">
        <v>3719540043</v>
      </c>
      <c r="E97" s="102">
        <f t="shared" ref="E97:E102" si="32">C97/D97</f>
        <v>0.49342913741552641</v>
      </c>
      <c r="F97" s="173"/>
      <c r="G97" s="173"/>
      <c r="K97" s="96">
        <v>2006</v>
      </c>
      <c r="L97" s="101">
        <v>1884210608</v>
      </c>
      <c r="M97" s="101">
        <v>1864929789</v>
      </c>
      <c r="N97" s="102">
        <f t="shared" ref="N97:N102" si="33">L97/M97</f>
        <v>1.0103386299654415</v>
      </c>
      <c r="O97" s="173"/>
      <c r="P97" s="173"/>
      <c r="S97" s="96">
        <v>2006</v>
      </c>
      <c r="T97" s="101">
        <v>29052985</v>
      </c>
      <c r="U97" s="101">
        <v>1850551513</v>
      </c>
      <c r="V97" s="102">
        <f t="shared" ref="V97:V103" si="34">T97/U97*100</f>
        <v>1.5699635917133206</v>
      </c>
      <c r="W97" s="173"/>
      <c r="X97" s="173"/>
    </row>
    <row r="98" spans="2:24" ht="15.75">
      <c r="B98" s="96">
        <v>2007</v>
      </c>
      <c r="C98" s="101">
        <v>1746522032</v>
      </c>
      <c r="D98" s="1">
        <v>3638465580</v>
      </c>
      <c r="E98" s="102">
        <f t="shared" si="32"/>
        <v>0.48001609293772679</v>
      </c>
      <c r="F98" s="173"/>
      <c r="G98" s="173"/>
      <c r="K98" s="96">
        <v>2007</v>
      </c>
      <c r="L98" s="101">
        <v>1891943548</v>
      </c>
      <c r="M98" s="101">
        <v>1822272692</v>
      </c>
      <c r="N98" s="102">
        <f t="shared" si="33"/>
        <v>1.0382329474100467</v>
      </c>
      <c r="O98" s="173"/>
      <c r="P98" s="173"/>
      <c r="S98" s="96">
        <v>2007</v>
      </c>
      <c r="T98" s="101">
        <v>-103656366</v>
      </c>
      <c r="U98" s="101">
        <v>1916218180</v>
      </c>
      <c r="V98" s="102">
        <f t="shared" si="34"/>
        <v>-5.4094239936706998</v>
      </c>
      <c r="W98" s="173"/>
      <c r="X98" s="173"/>
    </row>
    <row r="99" spans="2:24" ht="15.75">
      <c r="B99" s="96">
        <v>2008</v>
      </c>
      <c r="C99" s="101">
        <v>1744765716</v>
      </c>
      <c r="D99" s="109">
        <v>3622277182</v>
      </c>
      <c r="E99" s="102">
        <f t="shared" si="32"/>
        <v>0.48167647817515913</v>
      </c>
      <c r="F99" s="173"/>
      <c r="G99" s="173"/>
      <c r="K99" s="96">
        <v>2008</v>
      </c>
      <c r="L99" s="101">
        <v>1877511466</v>
      </c>
      <c r="M99" s="101">
        <v>1808153651</v>
      </c>
      <c r="N99" s="102">
        <f t="shared" si="33"/>
        <v>1.0383583634950722</v>
      </c>
      <c r="O99" s="173"/>
      <c r="P99" s="173"/>
      <c r="S99" s="96">
        <v>2008</v>
      </c>
      <c r="T99" s="101">
        <v>13027201</v>
      </c>
      <c r="U99" s="101">
        <v>2138957424</v>
      </c>
      <c r="V99" s="102">
        <f t="shared" si="34"/>
        <v>0.60904442761830313</v>
      </c>
      <c r="W99" s="173"/>
      <c r="X99" s="173"/>
    </row>
    <row r="100" spans="2:24" ht="15.75">
      <c r="B100" s="96">
        <v>2009</v>
      </c>
      <c r="C100" s="101">
        <v>1738996641</v>
      </c>
      <c r="D100" s="110">
        <v>4272700112</v>
      </c>
      <c r="E100" s="102">
        <f t="shared" si="32"/>
        <v>0.40700180106625744</v>
      </c>
      <c r="F100" s="173"/>
      <c r="G100" s="173"/>
      <c r="K100" s="96">
        <v>2009</v>
      </c>
      <c r="L100" s="101">
        <v>2533703471</v>
      </c>
      <c r="M100" s="101">
        <v>2485055057</v>
      </c>
      <c r="N100" s="102">
        <f t="shared" si="33"/>
        <v>1.0195763928299959</v>
      </c>
      <c r="O100" s="173"/>
      <c r="P100" s="173"/>
      <c r="S100" s="96">
        <v>2009</v>
      </c>
      <c r="T100" s="101">
        <v>11555081</v>
      </c>
      <c r="U100" s="101">
        <v>3190432746</v>
      </c>
      <c r="V100" s="102">
        <f t="shared" si="34"/>
        <v>0.36217911236295969</v>
      </c>
      <c r="W100" s="173"/>
      <c r="X100" s="173"/>
    </row>
    <row r="101" spans="2:24" ht="15.75">
      <c r="B101" s="96">
        <v>2010</v>
      </c>
      <c r="C101" s="101">
        <v>1712347705</v>
      </c>
      <c r="D101" s="109">
        <v>4591627446</v>
      </c>
      <c r="E101" s="102">
        <f t="shared" si="32"/>
        <v>0.37292827546183283</v>
      </c>
      <c r="F101" s="173"/>
      <c r="G101" s="173"/>
      <c r="K101" s="96">
        <v>2010</v>
      </c>
      <c r="L101" s="101">
        <v>2879279741</v>
      </c>
      <c r="M101" s="101">
        <v>2842927342</v>
      </c>
      <c r="N101" s="102">
        <f t="shared" si="33"/>
        <v>1.01278696027962</v>
      </c>
      <c r="O101" s="173"/>
      <c r="P101" s="173"/>
      <c r="S101" s="96">
        <v>2010</v>
      </c>
      <c r="T101" s="101">
        <v>37151020</v>
      </c>
      <c r="U101" s="101">
        <v>3366335450</v>
      </c>
      <c r="V101" s="102">
        <f t="shared" si="34"/>
        <v>1.1036042174584828</v>
      </c>
      <c r="W101" s="173"/>
      <c r="X101" s="173"/>
    </row>
    <row r="102" spans="2:24" ht="15.75">
      <c r="B102" s="96">
        <v>2011</v>
      </c>
      <c r="C102" s="101">
        <v>2132797656</v>
      </c>
      <c r="D102" s="109">
        <v>5077124120</v>
      </c>
      <c r="E102" s="102">
        <f t="shared" si="32"/>
        <v>0.42007987309161943</v>
      </c>
      <c r="F102" s="173"/>
      <c r="G102" s="173"/>
      <c r="K102" s="96">
        <v>2011</v>
      </c>
      <c r="L102" s="101">
        <v>3372268008</v>
      </c>
      <c r="M102" s="102">
        <v>3222215312</v>
      </c>
      <c r="N102" s="102">
        <f t="shared" si="33"/>
        <v>1.0465681779368319</v>
      </c>
      <c r="O102" s="173"/>
      <c r="P102" s="173"/>
      <c r="S102" s="96">
        <v>2011</v>
      </c>
      <c r="T102" s="115">
        <v>70567653</v>
      </c>
      <c r="U102" s="101">
        <v>3874062721</v>
      </c>
      <c r="V102" s="102">
        <f t="shared" si="34"/>
        <v>1.8215413141732664</v>
      </c>
      <c r="W102" s="173"/>
      <c r="X102" s="173"/>
    </row>
    <row r="103" spans="2:24" ht="15.75">
      <c r="B103" s="96">
        <v>2012</v>
      </c>
      <c r="C103" s="101">
        <v>2095907937</v>
      </c>
      <c r="D103" s="109">
        <v>4785928711</v>
      </c>
      <c r="E103" s="102">
        <f>C103/D103</f>
        <v>0.43793129057329161</v>
      </c>
      <c r="F103" s="174"/>
      <c r="G103" s="174"/>
      <c r="K103" s="96">
        <v>2012</v>
      </c>
      <c r="L103" s="101">
        <v>3111513905</v>
      </c>
      <c r="M103" s="102">
        <v>2913015589</v>
      </c>
      <c r="N103" s="102">
        <f>L103/M103</f>
        <v>1.0681418653403574</v>
      </c>
      <c r="O103" s="174"/>
      <c r="P103" s="174"/>
      <c r="S103" s="96">
        <v>2012</v>
      </c>
      <c r="T103" s="101">
        <v>104342152</v>
      </c>
      <c r="U103" s="101">
        <v>4619853406</v>
      </c>
      <c r="V103" s="102">
        <f t="shared" si="34"/>
        <v>2.25855980331511</v>
      </c>
      <c r="W103" s="174"/>
      <c r="X103" s="174"/>
    </row>
    <row r="106" spans="2:24" ht="15.75">
      <c r="B106" s="175" t="s">
        <v>68</v>
      </c>
      <c r="C106" s="175"/>
      <c r="D106" s="175"/>
      <c r="E106" s="175"/>
      <c r="F106" s="175"/>
      <c r="G106" s="175"/>
      <c r="K106" s="175" t="s">
        <v>68</v>
      </c>
      <c r="L106" s="175"/>
      <c r="M106" s="175"/>
      <c r="N106" s="175"/>
      <c r="O106" s="175"/>
      <c r="P106" s="175"/>
      <c r="S106" s="175" t="s">
        <v>68</v>
      </c>
      <c r="T106" s="175"/>
      <c r="U106" s="175"/>
      <c r="V106" s="175"/>
      <c r="W106" s="175"/>
      <c r="X106" s="175"/>
    </row>
    <row r="107" spans="2:24" ht="15.75">
      <c r="B107" s="96" t="s">
        <v>67</v>
      </c>
      <c r="C107" s="96" t="s">
        <v>78</v>
      </c>
      <c r="D107" s="96" t="s">
        <v>62</v>
      </c>
      <c r="E107" s="96" t="s">
        <v>63</v>
      </c>
      <c r="F107" s="96" t="s">
        <v>64</v>
      </c>
      <c r="G107" s="96" t="s">
        <v>65</v>
      </c>
      <c r="K107" s="96" t="s">
        <v>67</v>
      </c>
      <c r="L107" s="96" t="s">
        <v>82</v>
      </c>
      <c r="M107" s="96" t="s">
        <v>83</v>
      </c>
      <c r="N107" s="96" t="s">
        <v>63</v>
      </c>
      <c r="O107" s="96" t="s">
        <v>64</v>
      </c>
      <c r="P107" s="96" t="s">
        <v>65</v>
      </c>
      <c r="S107" s="96" t="s">
        <v>67</v>
      </c>
      <c r="T107" s="96" t="s">
        <v>89</v>
      </c>
      <c r="U107" s="96" t="s">
        <v>90</v>
      </c>
      <c r="V107" s="96" t="s">
        <v>91</v>
      </c>
      <c r="W107" s="96" t="s">
        <v>64</v>
      </c>
      <c r="X107" s="96" t="s">
        <v>65</v>
      </c>
    </row>
    <row r="108" spans="2:24" ht="15.75">
      <c r="B108" s="96">
        <v>2005</v>
      </c>
      <c r="C108" s="102">
        <v>67967744</v>
      </c>
      <c r="D108" s="108">
        <v>92501733</v>
      </c>
      <c r="E108" s="102">
        <f>C108/D108</f>
        <v>0.73477265555662619</v>
      </c>
      <c r="F108" s="176">
        <f>SUM(E108:E115)/8</f>
        <v>0.55133676595784564</v>
      </c>
      <c r="G108" s="172">
        <f>STDEV(E108,E109,E110,E111,E112,E113,E114,E115)</f>
        <v>0.22836769383438343</v>
      </c>
      <c r="K108" s="96">
        <v>2005</v>
      </c>
      <c r="L108" s="102">
        <v>24533989</v>
      </c>
      <c r="M108" s="108">
        <v>53665258</v>
      </c>
      <c r="N108" s="102">
        <f>L108/M108</f>
        <v>0.45716707445997928</v>
      </c>
      <c r="O108" s="176">
        <f>SUM(N108:N115)/8</f>
        <v>1.3398143378915399</v>
      </c>
      <c r="P108" s="172">
        <f>STDEV(N108,N109,N110,N111,N112,N113,N114,N115)</f>
        <v>1.2104227906534282</v>
      </c>
      <c r="S108" s="96">
        <v>2005</v>
      </c>
      <c r="T108" s="115">
        <v>25221624</v>
      </c>
      <c r="U108" s="101">
        <v>61489634</v>
      </c>
      <c r="V108" s="102">
        <f>T108/U108*100</f>
        <v>41.017684379126408</v>
      </c>
      <c r="W108" s="172">
        <f>SUM(V108:V115)/8</f>
        <v>39.694185953440112</v>
      </c>
      <c r="X108" s="172">
        <f>STDEV(V108,V109,V110,V111,V112,V113,V114,V115)</f>
        <v>2.8124723812870358</v>
      </c>
    </row>
    <row r="109" spans="2:24" ht="15.75">
      <c r="B109" s="96">
        <v>2006</v>
      </c>
      <c r="C109" s="102">
        <v>71372373</v>
      </c>
      <c r="D109" s="109">
        <v>96503996</v>
      </c>
      <c r="E109" s="102">
        <f t="shared" ref="E109:E115" si="35">C109/D109</f>
        <v>0.73957945741438524</v>
      </c>
      <c r="F109" s="177"/>
      <c r="G109" s="173"/>
      <c r="K109" s="96">
        <v>2006</v>
      </c>
      <c r="L109" s="102">
        <v>25131623</v>
      </c>
      <c r="M109" s="109">
        <v>57055696</v>
      </c>
      <c r="N109" s="102">
        <f t="shared" ref="N109:N115" si="36">L109/M109</f>
        <v>0.44047526823614597</v>
      </c>
      <c r="O109" s="177"/>
      <c r="P109" s="173"/>
      <c r="S109" s="96">
        <v>2006</v>
      </c>
      <c r="T109" s="101">
        <v>27911825</v>
      </c>
      <c r="U109" s="101">
        <v>67395457</v>
      </c>
      <c r="V109" s="102">
        <f t="shared" ref="V109:V115" si="37">T109/U109*100</f>
        <v>41.414994782215068</v>
      </c>
      <c r="W109" s="173"/>
      <c r="X109" s="173"/>
    </row>
    <row r="110" spans="2:24" ht="15.75">
      <c r="B110" s="96">
        <v>2007</v>
      </c>
      <c r="C110" s="102">
        <v>70637453</v>
      </c>
      <c r="D110" s="1">
        <v>96491927</v>
      </c>
      <c r="E110" s="102">
        <f t="shared" si="35"/>
        <v>0.73205557393417997</v>
      </c>
      <c r="F110" s="177"/>
      <c r="G110" s="173"/>
      <c r="K110" s="96">
        <v>2007</v>
      </c>
      <c r="L110" s="102">
        <v>25854474</v>
      </c>
      <c r="M110" s="1">
        <v>36464477</v>
      </c>
      <c r="N110" s="102">
        <f t="shared" si="36"/>
        <v>0.7090318064893677</v>
      </c>
      <c r="O110" s="177"/>
      <c r="P110" s="173"/>
      <c r="S110" s="96">
        <v>2007</v>
      </c>
      <c r="T110" s="101">
        <v>26039150</v>
      </c>
      <c r="U110" s="101">
        <v>69572923</v>
      </c>
      <c r="V110" s="102">
        <f t="shared" si="37"/>
        <v>37.427132391720839</v>
      </c>
      <c r="W110" s="173"/>
      <c r="X110" s="173"/>
    </row>
    <row r="111" spans="2:24" ht="15.75">
      <c r="B111" s="96">
        <v>2008</v>
      </c>
      <c r="C111" s="102">
        <v>103365009</v>
      </c>
      <c r="D111" s="109">
        <v>124624482</v>
      </c>
      <c r="E111" s="102">
        <f t="shared" si="35"/>
        <v>0.82941174431521414</v>
      </c>
      <c r="F111" s="177"/>
      <c r="G111" s="173"/>
      <c r="K111" s="96">
        <v>2008</v>
      </c>
      <c r="L111" s="102">
        <v>21259473</v>
      </c>
      <c r="M111" s="109">
        <v>37426710</v>
      </c>
      <c r="N111" s="102">
        <f t="shared" si="36"/>
        <v>0.56802943673114736</v>
      </c>
      <c r="O111" s="177"/>
      <c r="P111" s="173"/>
      <c r="S111" s="96">
        <v>2008</v>
      </c>
      <c r="T111" s="101">
        <v>27170322</v>
      </c>
      <c r="U111" s="101">
        <v>76179163</v>
      </c>
      <c r="V111" s="102">
        <f t="shared" si="37"/>
        <v>35.666343564315611</v>
      </c>
      <c r="W111" s="173"/>
      <c r="X111" s="173"/>
    </row>
    <row r="112" spans="2:24" ht="15.75">
      <c r="B112" s="96">
        <v>2009</v>
      </c>
      <c r="C112" s="102">
        <v>57944621</v>
      </c>
      <c r="D112" s="110">
        <v>149794293</v>
      </c>
      <c r="E112" s="102">
        <f t="shared" si="35"/>
        <v>0.38682796146312465</v>
      </c>
      <c r="F112" s="177"/>
      <c r="G112" s="173"/>
      <c r="K112" s="96">
        <v>2009</v>
      </c>
      <c r="L112" s="102">
        <v>91849672</v>
      </c>
      <c r="M112" s="110">
        <v>60026291</v>
      </c>
      <c r="N112" s="102">
        <f t="shared" si="36"/>
        <v>1.5301573772065977</v>
      </c>
      <c r="O112" s="177"/>
      <c r="P112" s="173"/>
      <c r="S112" s="96">
        <v>2009</v>
      </c>
      <c r="T112" s="101">
        <v>29597230</v>
      </c>
      <c r="U112" s="101">
        <v>80230075</v>
      </c>
      <c r="V112" s="102">
        <f t="shared" si="37"/>
        <v>36.890442891895589</v>
      </c>
      <c r="W112" s="173"/>
      <c r="X112" s="173"/>
    </row>
    <row r="113" spans="2:24" ht="15.75">
      <c r="B113" s="96">
        <v>2010</v>
      </c>
      <c r="C113" s="102">
        <v>57908044</v>
      </c>
      <c r="D113" s="109">
        <v>140705776</v>
      </c>
      <c r="E113" s="102">
        <f t="shared" si="35"/>
        <v>0.41155413548907899</v>
      </c>
      <c r="F113" s="177"/>
      <c r="G113" s="173"/>
      <c r="K113" s="96">
        <v>2010</v>
      </c>
      <c r="L113" s="102">
        <v>82797732</v>
      </c>
      <c r="M113" s="109">
        <v>73527667</v>
      </c>
      <c r="N113" s="102">
        <f t="shared" si="36"/>
        <v>1.1260758756292377</v>
      </c>
      <c r="O113" s="177"/>
      <c r="P113" s="173"/>
      <c r="S113" s="96">
        <v>2010</v>
      </c>
      <c r="T113" s="101">
        <v>37334379</v>
      </c>
      <c r="U113" s="101">
        <v>90464727</v>
      </c>
      <c r="V113" s="102">
        <f t="shared" si="37"/>
        <v>41.269542547782187</v>
      </c>
      <c r="W113" s="173"/>
      <c r="X113" s="173"/>
    </row>
    <row r="114" spans="2:24" ht="15.75">
      <c r="B114" s="96">
        <v>2011</v>
      </c>
      <c r="C114" s="102">
        <v>61473044</v>
      </c>
      <c r="D114" s="109">
        <v>198214847</v>
      </c>
      <c r="E114" s="102">
        <f t="shared" si="35"/>
        <v>0.31013339782766119</v>
      </c>
      <c r="F114" s="177"/>
      <c r="G114" s="173"/>
      <c r="K114" s="96">
        <v>2011</v>
      </c>
      <c r="L114" s="102">
        <v>136741803</v>
      </c>
      <c r="M114" s="109">
        <v>74411028</v>
      </c>
      <c r="N114" s="102">
        <f t="shared" si="36"/>
        <v>1.837655071772426</v>
      </c>
      <c r="O114" s="177"/>
      <c r="P114" s="173"/>
      <c r="S114" s="96">
        <v>2011</v>
      </c>
      <c r="T114" s="115">
        <v>44125710</v>
      </c>
      <c r="U114" s="101">
        <v>100181791</v>
      </c>
      <c r="V114" s="102">
        <f t="shared" si="37"/>
        <v>44.045638992419292</v>
      </c>
      <c r="W114" s="173"/>
      <c r="X114" s="173"/>
    </row>
    <row r="115" spans="2:24" ht="15.75">
      <c r="B115" s="96">
        <v>2012</v>
      </c>
      <c r="C115" s="116">
        <v>59494410</v>
      </c>
      <c r="D115" s="109">
        <v>223361572</v>
      </c>
      <c r="E115" s="102">
        <f t="shared" si="35"/>
        <v>0.26635920166249544</v>
      </c>
      <c r="F115" s="178"/>
      <c r="G115" s="174"/>
      <c r="K115" s="96">
        <v>2012</v>
      </c>
      <c r="L115" s="116">
        <v>163867162</v>
      </c>
      <c r="M115" s="109">
        <v>40461799</v>
      </c>
      <c r="N115" s="102">
        <f t="shared" si="36"/>
        <v>4.0499227926074175</v>
      </c>
      <c r="O115" s="178"/>
      <c r="P115" s="174"/>
      <c r="S115" s="96">
        <v>2012</v>
      </c>
      <c r="T115" s="101">
        <v>42153735</v>
      </c>
      <c r="U115" s="101">
        <v>105856170</v>
      </c>
      <c r="V115" s="102">
        <f t="shared" si="37"/>
        <v>39.821708078045894</v>
      </c>
      <c r="W115" s="174"/>
      <c r="X115" s="174"/>
    </row>
    <row r="118" spans="2:24" ht="15.75">
      <c r="B118" s="175" t="s">
        <v>69</v>
      </c>
      <c r="C118" s="175"/>
      <c r="D118" s="175"/>
      <c r="E118" s="175"/>
      <c r="F118" s="175"/>
      <c r="G118" s="175"/>
      <c r="K118" s="175" t="s">
        <v>69</v>
      </c>
      <c r="L118" s="175"/>
      <c r="M118" s="175"/>
      <c r="N118" s="175"/>
      <c r="O118" s="175"/>
      <c r="P118" s="175"/>
      <c r="S118" s="175" t="s">
        <v>69</v>
      </c>
      <c r="T118" s="175"/>
      <c r="U118" s="175"/>
      <c r="V118" s="175"/>
      <c r="W118" s="175"/>
      <c r="X118" s="175"/>
    </row>
    <row r="119" spans="2:24" ht="15.75">
      <c r="B119" s="96" t="s">
        <v>67</v>
      </c>
      <c r="C119" s="96" t="s">
        <v>78</v>
      </c>
      <c r="D119" s="96" t="s">
        <v>62</v>
      </c>
      <c r="E119" s="96" t="s">
        <v>63</v>
      </c>
      <c r="F119" s="96" t="s">
        <v>64</v>
      </c>
      <c r="G119" s="96" t="s">
        <v>65</v>
      </c>
      <c r="K119" s="96" t="s">
        <v>67</v>
      </c>
      <c r="L119" s="96" t="s">
        <v>82</v>
      </c>
      <c r="M119" s="96" t="s">
        <v>83</v>
      </c>
      <c r="N119" s="96" t="s">
        <v>63</v>
      </c>
      <c r="O119" s="96" t="s">
        <v>64</v>
      </c>
      <c r="P119" s="96" t="s">
        <v>65</v>
      </c>
      <c r="S119" s="96" t="s">
        <v>67</v>
      </c>
      <c r="T119" s="96" t="s">
        <v>89</v>
      </c>
      <c r="U119" s="96" t="s">
        <v>90</v>
      </c>
      <c r="V119" s="96" t="s">
        <v>91</v>
      </c>
      <c r="W119" s="96" t="s">
        <v>64</v>
      </c>
      <c r="X119" s="96" t="s">
        <v>65</v>
      </c>
    </row>
    <row r="120" spans="2:24" ht="15.75">
      <c r="B120" s="96">
        <v>2005</v>
      </c>
      <c r="C120" s="101">
        <v>11139260</v>
      </c>
      <c r="D120" s="108">
        <v>131004901</v>
      </c>
      <c r="E120" s="102">
        <f>C120/D120</f>
        <v>8.5029337948203942E-2</v>
      </c>
      <c r="F120" s="172">
        <f>SUM(E120:E127)/8</f>
        <v>0.10685033262872301</v>
      </c>
      <c r="G120" s="172">
        <f>STDEV(E120,E121,E122,E123,E124,E125,E126,E127)</f>
        <v>0.10185551454475916</v>
      </c>
      <c r="K120" s="96">
        <v>2005</v>
      </c>
      <c r="L120" s="101">
        <v>119865641</v>
      </c>
      <c r="M120" s="108">
        <v>106993740</v>
      </c>
      <c r="N120" s="102">
        <f>L120/M120</f>
        <v>1.1203051786020379</v>
      </c>
      <c r="O120" s="172">
        <f>SUM(N120:N127)/8</f>
        <v>1.0227811348991607</v>
      </c>
      <c r="P120" s="172">
        <f>STDEV(N120,N121,N122,N123,N124,N125,N126,N127)</f>
        <v>0.14282913645052009</v>
      </c>
      <c r="S120" s="96">
        <v>2005</v>
      </c>
      <c r="T120" s="115">
        <v>6765426</v>
      </c>
      <c r="U120" s="101">
        <v>223358972</v>
      </c>
      <c r="V120" s="102">
        <f>T120/U120*100</f>
        <v>3.0289475007075159</v>
      </c>
      <c r="W120" s="172">
        <f>SUM(V120:V127)/8</f>
        <v>1.2986406804945614</v>
      </c>
      <c r="X120" s="172">
        <f>STDEV(V120,V121,V122,V123,V124,V125,V126,V127)</f>
        <v>0.77885138436842272</v>
      </c>
    </row>
    <row r="121" spans="2:24" ht="15.75">
      <c r="B121" s="96">
        <v>2006</v>
      </c>
      <c r="C121" s="101">
        <v>9807692</v>
      </c>
      <c r="D121" s="109">
        <v>142349803</v>
      </c>
      <c r="E121" s="102">
        <f t="shared" ref="E121:E127" si="38">C121/D121</f>
        <v>6.8898528788269561E-2</v>
      </c>
      <c r="F121" s="173"/>
      <c r="G121" s="173"/>
      <c r="K121" s="96">
        <v>2006</v>
      </c>
      <c r="L121" s="101">
        <v>132542111</v>
      </c>
      <c r="M121" s="109">
        <v>118565048</v>
      </c>
      <c r="N121" s="102">
        <f t="shared" ref="N121:N126" si="39">L121/M121</f>
        <v>1.1178851882217431</v>
      </c>
      <c r="O121" s="173"/>
      <c r="P121" s="173"/>
      <c r="S121" s="96">
        <v>2006</v>
      </c>
      <c r="T121" s="101">
        <v>2512433</v>
      </c>
      <c r="U121" s="101">
        <v>201311621</v>
      </c>
      <c r="V121" s="102">
        <f t="shared" ref="V121:V127" si="40">T121/U121*100</f>
        <v>1.2480317765659439</v>
      </c>
      <c r="W121" s="173"/>
      <c r="X121" s="173"/>
    </row>
    <row r="122" spans="2:24" ht="15.75">
      <c r="B122" s="96">
        <v>2007</v>
      </c>
      <c r="C122" s="101">
        <v>8683795</v>
      </c>
      <c r="D122" s="1">
        <v>217031048</v>
      </c>
      <c r="E122" s="102">
        <f t="shared" si="38"/>
        <v>4.0011763662496806E-2</v>
      </c>
      <c r="F122" s="173"/>
      <c r="G122" s="173"/>
      <c r="K122" s="96">
        <v>2007</v>
      </c>
      <c r="L122" s="101">
        <v>208347253</v>
      </c>
      <c r="M122" s="1">
        <v>191510327</v>
      </c>
      <c r="N122" s="102">
        <f t="shared" si="39"/>
        <v>1.0879165435292688</v>
      </c>
      <c r="O122" s="173"/>
      <c r="P122" s="173"/>
      <c r="S122" s="96">
        <v>2007</v>
      </c>
      <c r="T122" s="101">
        <v>3842766</v>
      </c>
      <c r="U122" s="101">
        <v>336361547</v>
      </c>
      <c r="V122" s="102">
        <f t="shared" si="40"/>
        <v>1.1424510424195429</v>
      </c>
      <c r="W122" s="173"/>
      <c r="X122" s="173"/>
    </row>
    <row r="123" spans="2:24" ht="15.75">
      <c r="B123" s="96">
        <v>2008</v>
      </c>
      <c r="C123" s="101">
        <v>7638706</v>
      </c>
      <c r="D123" s="109">
        <v>205104312</v>
      </c>
      <c r="E123" s="102">
        <f t="shared" si="38"/>
        <v>3.7243029780865848E-2</v>
      </c>
      <c r="F123" s="173"/>
      <c r="G123" s="173"/>
      <c r="K123" s="96">
        <v>2008</v>
      </c>
      <c r="L123" s="101">
        <v>197465606</v>
      </c>
      <c r="M123" s="109">
        <v>180770926</v>
      </c>
      <c r="N123" s="102">
        <f t="shared" si="39"/>
        <v>1.0923526828645</v>
      </c>
      <c r="O123" s="173"/>
      <c r="P123" s="173"/>
      <c r="S123" s="96">
        <v>2008</v>
      </c>
      <c r="T123" s="101">
        <v>919465</v>
      </c>
      <c r="U123" s="101">
        <v>237785132</v>
      </c>
      <c r="V123" s="102">
        <f t="shared" si="40"/>
        <v>0.38667892826873634</v>
      </c>
      <c r="W123" s="173"/>
      <c r="X123" s="173"/>
    </row>
    <row r="124" spans="2:24" ht="15.75">
      <c r="B124" s="96">
        <v>2009</v>
      </c>
      <c r="C124" s="101">
        <v>8082950</v>
      </c>
      <c r="D124" s="110">
        <v>209342035</v>
      </c>
      <c r="E124" s="102">
        <f t="shared" si="38"/>
        <v>3.8611213462217464E-2</v>
      </c>
      <c r="F124" s="173"/>
      <c r="G124" s="173"/>
      <c r="K124" s="96">
        <v>2009</v>
      </c>
      <c r="L124" s="101">
        <v>201259085</v>
      </c>
      <c r="M124" s="110">
        <v>180713810</v>
      </c>
      <c r="N124" s="102">
        <f t="shared" si="39"/>
        <v>1.1136895680523806</v>
      </c>
      <c r="O124" s="173"/>
      <c r="P124" s="173"/>
      <c r="S124" s="96">
        <v>2009</v>
      </c>
      <c r="T124" s="101">
        <v>4212836</v>
      </c>
      <c r="U124" s="101">
        <v>481257832</v>
      </c>
      <c r="V124" s="102">
        <f t="shared" si="40"/>
        <v>0.87538024731823993</v>
      </c>
      <c r="W124" s="173"/>
      <c r="X124" s="173"/>
    </row>
    <row r="125" spans="2:24" ht="15.75">
      <c r="B125" s="96">
        <v>2010</v>
      </c>
      <c r="C125" s="102">
        <v>110417592</v>
      </c>
      <c r="D125" s="109">
        <v>388844305</v>
      </c>
      <c r="E125" s="102">
        <f t="shared" si="38"/>
        <v>0.28396350565041706</v>
      </c>
      <c r="F125" s="173"/>
      <c r="G125" s="173"/>
      <c r="K125" s="96">
        <v>2010</v>
      </c>
      <c r="L125" s="102">
        <v>278426713</v>
      </c>
      <c r="M125" s="109">
        <v>359625781</v>
      </c>
      <c r="N125" s="102">
        <f t="shared" si="39"/>
        <v>0.77421232767513959</v>
      </c>
      <c r="O125" s="173"/>
      <c r="P125" s="173"/>
      <c r="S125" s="96">
        <v>2010</v>
      </c>
      <c r="T125" s="101">
        <v>5200837</v>
      </c>
      <c r="U125" s="101">
        <v>582857856</v>
      </c>
      <c r="V125" s="102">
        <f t="shared" si="40"/>
        <v>0.89229937393174641</v>
      </c>
      <c r="W125" s="173"/>
      <c r="X125" s="173"/>
    </row>
    <row r="126" spans="2:24" ht="15.75">
      <c r="B126" s="96">
        <v>2011</v>
      </c>
      <c r="C126" s="102">
        <v>97198191</v>
      </c>
      <c r="D126" s="109">
        <v>382171258</v>
      </c>
      <c r="E126" s="102">
        <f t="shared" si="38"/>
        <v>0.25433150443773039</v>
      </c>
      <c r="F126" s="173"/>
      <c r="G126" s="173"/>
      <c r="K126" s="96">
        <v>2011</v>
      </c>
      <c r="L126" s="102">
        <v>284973067</v>
      </c>
      <c r="M126" s="109">
        <v>350083622</v>
      </c>
      <c r="N126" s="102">
        <f t="shared" si="39"/>
        <v>0.81401427856570796</v>
      </c>
      <c r="O126" s="173"/>
      <c r="P126" s="173"/>
      <c r="S126" s="96">
        <v>2011</v>
      </c>
      <c r="T126" s="115">
        <v>4975912</v>
      </c>
      <c r="U126" s="101">
        <v>384403902</v>
      </c>
      <c r="V126" s="102">
        <f t="shared" si="40"/>
        <v>1.2944488789294339</v>
      </c>
      <c r="W126" s="173"/>
      <c r="X126" s="173"/>
    </row>
    <row r="127" spans="2:24" ht="15.75">
      <c r="B127" s="96">
        <v>2012</v>
      </c>
      <c r="C127" s="101">
        <v>16046233</v>
      </c>
      <c r="D127" s="109">
        <v>343501081</v>
      </c>
      <c r="E127" s="102">
        <f t="shared" si="38"/>
        <v>4.671377729958294E-2</v>
      </c>
      <c r="F127" s="174"/>
      <c r="G127" s="174"/>
      <c r="K127" s="96">
        <v>2012</v>
      </c>
      <c r="L127" s="101">
        <v>327454848</v>
      </c>
      <c r="M127" s="109">
        <v>308374685</v>
      </c>
      <c r="N127" s="102">
        <f>L127/M127</f>
        <v>1.0618733116825072</v>
      </c>
      <c r="O127" s="174"/>
      <c r="P127" s="174"/>
      <c r="S127" s="96">
        <v>2012</v>
      </c>
      <c r="T127" s="101">
        <v>5145561</v>
      </c>
      <c r="U127" s="101">
        <v>338326164</v>
      </c>
      <c r="V127" s="102">
        <f t="shared" si="40"/>
        <v>1.5208876958153317</v>
      </c>
      <c r="W127" s="174"/>
      <c r="X127" s="174"/>
    </row>
    <row r="137" spans="2:24" ht="15.75">
      <c r="B137" s="171" t="s">
        <v>70</v>
      </c>
      <c r="C137" s="171"/>
      <c r="D137" s="171"/>
      <c r="E137" s="171"/>
      <c r="F137" s="171"/>
      <c r="G137" s="171"/>
      <c r="K137" s="171" t="s">
        <v>70</v>
      </c>
      <c r="L137" s="171"/>
      <c r="M137" s="171"/>
      <c r="N137" s="171"/>
      <c r="O137" s="171"/>
      <c r="P137" s="171"/>
      <c r="S137" s="171" t="s">
        <v>70</v>
      </c>
      <c r="T137" s="171"/>
      <c r="U137" s="171"/>
      <c r="V137" s="171"/>
      <c r="W137" s="171"/>
      <c r="X137" s="171"/>
    </row>
    <row r="138" spans="2:24" ht="15.75">
      <c r="B138" s="96" t="s">
        <v>67</v>
      </c>
      <c r="C138" s="96" t="s">
        <v>78</v>
      </c>
      <c r="D138" s="96" t="s">
        <v>62</v>
      </c>
      <c r="E138" s="96" t="s">
        <v>63</v>
      </c>
      <c r="F138" s="96" t="s">
        <v>64</v>
      </c>
      <c r="G138" s="96" t="s">
        <v>65</v>
      </c>
      <c r="K138" s="96" t="s">
        <v>67</v>
      </c>
      <c r="L138" s="96" t="s">
        <v>82</v>
      </c>
      <c r="M138" s="96" t="s">
        <v>83</v>
      </c>
      <c r="N138" s="96" t="s">
        <v>63</v>
      </c>
      <c r="O138" s="96" t="s">
        <v>64</v>
      </c>
      <c r="P138" s="96" t="s">
        <v>65</v>
      </c>
      <c r="S138" s="96" t="s">
        <v>67</v>
      </c>
      <c r="T138" s="96" t="s">
        <v>89</v>
      </c>
      <c r="U138" s="96" t="s">
        <v>90</v>
      </c>
      <c r="V138" s="96" t="s">
        <v>91</v>
      </c>
      <c r="W138" s="96" t="s">
        <v>64</v>
      </c>
      <c r="X138" s="96" t="s">
        <v>65</v>
      </c>
    </row>
    <row r="139" spans="2:24" ht="15.75">
      <c r="B139" s="96">
        <v>2005</v>
      </c>
      <c r="C139" s="101">
        <v>537668348</v>
      </c>
      <c r="D139" s="108">
        <v>990879348</v>
      </c>
      <c r="E139" s="102">
        <f>C139/D139</f>
        <v>0.54261737222118389</v>
      </c>
      <c r="F139" s="172">
        <f>SUM(E139:E146)/8</f>
        <v>0.56865343709033844</v>
      </c>
      <c r="G139" s="172">
        <f>STDEV(E139,E140,E141,E142,E143,E144,E145,E146)</f>
        <v>5.5039021009919344E-2</v>
      </c>
      <c r="K139" s="96">
        <v>2005</v>
      </c>
      <c r="L139" s="101">
        <v>453211000</v>
      </c>
      <c r="M139" s="108">
        <v>228990648</v>
      </c>
      <c r="N139" s="102">
        <f>L139/M139</f>
        <v>1.9791681623609363</v>
      </c>
      <c r="O139" s="172">
        <f>SUM(N139:N146)/8</f>
        <v>1.1230803625992583</v>
      </c>
      <c r="P139" s="172">
        <f>STDEV(N139,N140,N141,N142,N143,N144,N145,N146)</f>
        <v>0.43047506697496857</v>
      </c>
      <c r="S139" s="96">
        <v>2005</v>
      </c>
      <c r="T139" s="119">
        <v>34735000</v>
      </c>
      <c r="U139" s="119">
        <v>614739000</v>
      </c>
      <c r="V139" s="102">
        <f>T139/U139*100</f>
        <v>5.6503654396418641</v>
      </c>
      <c r="W139" s="172">
        <f>SUM(V139:V146)/8</f>
        <v>5.447985511773191</v>
      </c>
      <c r="X139" s="172">
        <f>STDEV(V139,V140,V141,V142,V143,V144,V145,V146)</f>
        <v>6.3220905750980521</v>
      </c>
    </row>
    <row r="140" spans="2:24" ht="15.75">
      <c r="B140" s="96">
        <v>2006</v>
      </c>
      <c r="C140" s="101">
        <v>612307669</v>
      </c>
      <c r="D140" s="109">
        <v>1052050623</v>
      </c>
      <c r="E140" s="102">
        <f t="shared" ref="E140:E146" si="41">C140/D140</f>
        <v>0.58201350354601711</v>
      </c>
      <c r="F140" s="173"/>
      <c r="G140" s="173"/>
      <c r="K140" s="96">
        <v>2006</v>
      </c>
      <c r="L140" s="101">
        <v>439742954</v>
      </c>
      <c r="M140" s="109">
        <v>275482246</v>
      </c>
      <c r="N140" s="102">
        <f t="shared" ref="N140:N146" si="42">L140/M140</f>
        <v>1.596266040316805</v>
      </c>
      <c r="O140" s="173"/>
      <c r="P140" s="173"/>
      <c r="S140" s="96">
        <v>2006</v>
      </c>
      <c r="T140" s="101">
        <v>24961157</v>
      </c>
      <c r="U140" s="101">
        <v>621827381</v>
      </c>
      <c r="V140" s="102">
        <f t="shared" ref="V140:V146" si="43">T140/U140*100</f>
        <v>4.0141617694380685</v>
      </c>
      <c r="W140" s="173"/>
      <c r="X140" s="173"/>
    </row>
    <row r="141" spans="2:24" ht="15.75">
      <c r="B141" s="96">
        <v>2007</v>
      </c>
      <c r="C141" s="101">
        <v>782363433</v>
      </c>
      <c r="D141" s="1">
        <v>1252313252</v>
      </c>
      <c r="E141" s="102">
        <f t="shared" si="41"/>
        <v>0.62473461152833032</v>
      </c>
      <c r="F141" s="173"/>
      <c r="G141" s="173"/>
      <c r="K141" s="96">
        <v>2007</v>
      </c>
      <c r="L141" s="101">
        <v>469949819</v>
      </c>
      <c r="M141" s="1">
        <v>576399047</v>
      </c>
      <c r="N141" s="102">
        <f t="shared" si="42"/>
        <v>0.81532025676648978</v>
      </c>
      <c r="O141" s="173"/>
      <c r="P141" s="173"/>
      <c r="S141" s="96">
        <v>2007</v>
      </c>
      <c r="T141" s="101">
        <v>-27277331</v>
      </c>
      <c r="U141" s="101">
        <v>634189583</v>
      </c>
      <c r="V141" s="102">
        <f t="shared" si="43"/>
        <v>-4.3011319850077072</v>
      </c>
      <c r="W141" s="173"/>
      <c r="X141" s="173"/>
    </row>
    <row r="142" spans="2:24" ht="15.75">
      <c r="B142" s="96">
        <v>2008</v>
      </c>
      <c r="C142" s="101">
        <v>755615387</v>
      </c>
      <c r="D142" s="109">
        <v>1145330936</v>
      </c>
      <c r="E142" s="102">
        <f t="shared" si="41"/>
        <v>0.65973542078496694</v>
      </c>
      <c r="F142" s="173"/>
      <c r="G142" s="173"/>
      <c r="K142" s="96">
        <v>2008</v>
      </c>
      <c r="L142" s="101">
        <v>389715549</v>
      </c>
      <c r="M142" s="109">
        <v>406918573</v>
      </c>
      <c r="N142" s="102">
        <f t="shared" si="42"/>
        <v>0.95772366969349421</v>
      </c>
      <c r="O142" s="173"/>
      <c r="P142" s="173"/>
      <c r="S142" s="96">
        <v>2008</v>
      </c>
      <c r="T142" s="101">
        <v>-11429014</v>
      </c>
      <c r="U142" s="101">
        <v>746581607</v>
      </c>
      <c r="V142" s="102">
        <f t="shared" si="43"/>
        <v>-1.5308459105931336</v>
      </c>
      <c r="W142" s="173"/>
      <c r="X142" s="173"/>
    </row>
    <row r="143" spans="2:24" ht="15.75">
      <c r="B143" s="96">
        <v>2009</v>
      </c>
      <c r="C143" s="101">
        <v>770292444</v>
      </c>
      <c r="D143" s="110">
        <v>1315395458</v>
      </c>
      <c r="E143" s="102">
        <f t="shared" si="41"/>
        <v>0.58559761577038982</v>
      </c>
      <c r="F143" s="173"/>
      <c r="G143" s="173"/>
      <c r="K143" s="96">
        <v>2009</v>
      </c>
      <c r="L143" s="101">
        <v>545103014</v>
      </c>
      <c r="M143" s="110">
        <v>606319854</v>
      </c>
      <c r="N143" s="102">
        <f t="shared" si="42"/>
        <v>0.89903540252534764</v>
      </c>
      <c r="O143" s="173"/>
      <c r="P143" s="173"/>
      <c r="S143" s="96">
        <v>2009</v>
      </c>
      <c r="T143" s="101">
        <v>37331241</v>
      </c>
      <c r="U143" s="101">
        <v>1002720181</v>
      </c>
      <c r="V143" s="102">
        <f t="shared" si="43"/>
        <v>3.7229968746385489</v>
      </c>
      <c r="W143" s="173"/>
      <c r="X143" s="173"/>
    </row>
    <row r="144" spans="2:24" ht="15.75">
      <c r="B144" s="96">
        <v>2010</v>
      </c>
      <c r="C144" s="101">
        <v>791690700</v>
      </c>
      <c r="D144" s="109">
        <v>1473129700</v>
      </c>
      <c r="E144" s="102">
        <f t="shared" si="41"/>
        <v>0.53742090733762271</v>
      </c>
      <c r="F144" s="173"/>
      <c r="G144" s="173"/>
      <c r="K144" s="96">
        <v>2010</v>
      </c>
      <c r="L144" s="101">
        <v>681439000</v>
      </c>
      <c r="M144" s="117">
        <v>787264000</v>
      </c>
      <c r="N144" s="102">
        <f t="shared" si="42"/>
        <v>0.86557876392163235</v>
      </c>
      <c r="O144" s="173"/>
      <c r="P144" s="173"/>
      <c r="S144" s="96">
        <v>2010</v>
      </c>
      <c r="T144" s="101">
        <v>177502000</v>
      </c>
      <c r="U144" s="101">
        <v>1588150000</v>
      </c>
      <c r="V144" s="102">
        <f t="shared" si="43"/>
        <v>11.176652079463526</v>
      </c>
      <c r="W144" s="173"/>
      <c r="X144" s="173"/>
    </row>
    <row r="145" spans="2:24" ht="15.75">
      <c r="B145" s="96">
        <v>2011</v>
      </c>
      <c r="C145" s="101">
        <v>940436276</v>
      </c>
      <c r="D145" s="109">
        <v>1797929501</v>
      </c>
      <c r="E145" s="102">
        <f t="shared" si="41"/>
        <v>0.5230662689927128</v>
      </c>
      <c r="F145" s="173"/>
      <c r="G145" s="173"/>
      <c r="K145" s="96">
        <v>2011</v>
      </c>
      <c r="L145" s="101">
        <v>857493225</v>
      </c>
      <c r="M145" s="109">
        <v>1058641186</v>
      </c>
      <c r="N145" s="102">
        <f t="shared" si="42"/>
        <v>0.80999420421188861</v>
      </c>
      <c r="O145" s="173"/>
      <c r="P145" s="173"/>
      <c r="S145" s="96">
        <v>2011</v>
      </c>
      <c r="T145" s="115">
        <v>241559000</v>
      </c>
      <c r="U145" s="101">
        <v>1852040000</v>
      </c>
      <c r="V145" s="102">
        <f t="shared" si="43"/>
        <v>13.042860845338113</v>
      </c>
      <c r="W145" s="173"/>
      <c r="X145" s="173"/>
    </row>
    <row r="146" spans="2:24" ht="15.75">
      <c r="B146" s="96">
        <v>2012</v>
      </c>
      <c r="C146" s="101">
        <v>965015878</v>
      </c>
      <c r="D146" s="109">
        <v>1953308171</v>
      </c>
      <c r="E146" s="102">
        <f t="shared" si="41"/>
        <v>0.49404179654148389</v>
      </c>
      <c r="F146" s="174"/>
      <c r="G146" s="174"/>
      <c r="K146" s="96">
        <v>2012</v>
      </c>
      <c r="L146" s="101">
        <v>988292293</v>
      </c>
      <c r="M146" s="109">
        <v>930984253</v>
      </c>
      <c r="N146" s="102">
        <f t="shared" si="42"/>
        <v>1.0615564009974721</v>
      </c>
      <c r="O146" s="174"/>
      <c r="P146" s="174"/>
      <c r="S146" s="96">
        <v>2012</v>
      </c>
      <c r="T146" s="101">
        <v>279947057</v>
      </c>
      <c r="U146" s="101">
        <v>2370659718</v>
      </c>
      <c r="V146" s="102">
        <f t="shared" si="43"/>
        <v>11.808824981266248</v>
      </c>
      <c r="W146" s="174"/>
      <c r="X146" s="174"/>
    </row>
    <row r="149" spans="2:24" ht="15.75">
      <c r="B149" s="171" t="s">
        <v>49</v>
      </c>
      <c r="C149" s="171"/>
      <c r="D149" s="171"/>
      <c r="E149" s="171"/>
      <c r="F149" s="171"/>
      <c r="G149" s="171"/>
      <c r="K149" s="171" t="s">
        <v>49</v>
      </c>
      <c r="L149" s="171"/>
      <c r="M149" s="171"/>
      <c r="N149" s="171"/>
      <c r="O149" s="171"/>
      <c r="P149" s="171"/>
      <c r="S149" s="171" t="s">
        <v>49</v>
      </c>
      <c r="T149" s="171"/>
      <c r="U149" s="171"/>
      <c r="V149" s="171"/>
      <c r="W149" s="171"/>
      <c r="X149" s="171"/>
    </row>
    <row r="150" spans="2:24" ht="15.75">
      <c r="B150" s="96" t="s">
        <v>67</v>
      </c>
      <c r="C150" s="96" t="s">
        <v>78</v>
      </c>
      <c r="D150" s="96" t="s">
        <v>62</v>
      </c>
      <c r="E150" s="96" t="s">
        <v>63</v>
      </c>
      <c r="F150" s="96" t="s">
        <v>64</v>
      </c>
      <c r="G150" s="96" t="s">
        <v>65</v>
      </c>
      <c r="K150" s="96" t="s">
        <v>67</v>
      </c>
      <c r="L150" s="96" t="s">
        <v>82</v>
      </c>
      <c r="M150" s="96" t="s">
        <v>83</v>
      </c>
      <c r="N150" s="96" t="s">
        <v>63</v>
      </c>
      <c r="O150" s="96" t="s">
        <v>64</v>
      </c>
      <c r="P150" s="96" t="s">
        <v>65</v>
      </c>
      <c r="S150" s="96" t="s">
        <v>67</v>
      </c>
      <c r="T150" s="96" t="s">
        <v>89</v>
      </c>
      <c r="U150" s="96" t="s">
        <v>90</v>
      </c>
      <c r="V150" s="96" t="s">
        <v>91</v>
      </c>
      <c r="W150" s="96" t="s">
        <v>64</v>
      </c>
      <c r="X150" s="96" t="s">
        <v>65</v>
      </c>
    </row>
    <row r="151" spans="2:24" ht="15.75">
      <c r="B151" s="96">
        <v>2005</v>
      </c>
      <c r="C151" s="101">
        <v>18019088</v>
      </c>
      <c r="D151" s="108">
        <v>128173647</v>
      </c>
      <c r="E151" s="102">
        <f>C151/D151</f>
        <v>0.14058340713360523</v>
      </c>
      <c r="F151" s="172">
        <f>SUM(E151:E158)/8</f>
        <v>0.11534773563594039</v>
      </c>
      <c r="G151" s="172">
        <f>STDEV(E151,E152,E153,E154,E155,E156,E157,E158)</f>
        <v>2.9057825960712113E-2</v>
      </c>
      <c r="K151" s="96">
        <v>2005</v>
      </c>
      <c r="L151" s="101">
        <v>110154559</v>
      </c>
      <c r="M151" s="108">
        <v>87401867</v>
      </c>
      <c r="N151" s="102">
        <f>L151/M151</f>
        <v>1.2603227228544214</v>
      </c>
      <c r="O151" s="172">
        <f>SUM(N151:N158)/8</f>
        <v>1.2131402494895864</v>
      </c>
      <c r="P151" s="172">
        <f>STDEV(N151,N152,N153,N154,N155,N156,N157,N158)</f>
        <v>7.0311118584018464E-2</v>
      </c>
      <c r="S151" s="96">
        <v>2005</v>
      </c>
      <c r="T151" s="112">
        <v>3058555</v>
      </c>
      <c r="U151" s="112">
        <v>118103607</v>
      </c>
      <c r="V151" s="102">
        <f>T151/U151*100</f>
        <v>2.5897219210248168</v>
      </c>
      <c r="W151" s="172">
        <f>SUM(V151:V158)/8</f>
        <v>1.7898011245940058</v>
      </c>
      <c r="X151" s="172">
        <f>STDEV(V151,V152,V153,V154,V155,V156,V157,V158)</f>
        <v>0.83123763499858871</v>
      </c>
    </row>
    <row r="152" spans="2:24" ht="15.75">
      <c r="B152" s="96">
        <v>2006</v>
      </c>
      <c r="C152" s="101">
        <v>16514863</v>
      </c>
      <c r="D152" s="109">
        <v>146606658</v>
      </c>
      <c r="E152" s="102">
        <f t="shared" ref="E152:E158" si="44">C152/D152</f>
        <v>0.11264742833166554</v>
      </c>
      <c r="F152" s="173"/>
      <c r="G152" s="173"/>
      <c r="K152" s="96">
        <v>2006</v>
      </c>
      <c r="L152" s="101">
        <v>130091795</v>
      </c>
      <c r="M152" s="109">
        <v>105660001</v>
      </c>
      <c r="N152" s="102">
        <f t="shared" ref="N152:N158" si="45">L152/M152</f>
        <v>1.231230302562651</v>
      </c>
      <c r="O152" s="173"/>
      <c r="P152" s="173"/>
      <c r="S152" s="96">
        <v>2006</v>
      </c>
      <c r="T152" s="112">
        <v>174895</v>
      </c>
      <c r="U152" s="112">
        <v>148752321</v>
      </c>
      <c r="V152" s="102">
        <f t="shared" ref="V152:V158" si="46">T152/U152*100</f>
        <v>0.11757463602870438</v>
      </c>
      <c r="W152" s="173"/>
      <c r="X152" s="173"/>
    </row>
    <row r="153" spans="2:24" ht="15.75">
      <c r="B153" s="96">
        <v>2007</v>
      </c>
      <c r="C153" s="101">
        <v>15770460.65</v>
      </c>
      <c r="D153" s="1">
        <v>142298098.94999999</v>
      </c>
      <c r="E153" s="102">
        <f t="shared" si="44"/>
        <v>0.11082692436770605</v>
      </c>
      <c r="F153" s="173"/>
      <c r="G153" s="173"/>
      <c r="K153" s="96">
        <v>2007</v>
      </c>
      <c r="L153" s="101">
        <v>126527638.37</v>
      </c>
      <c r="M153" s="1">
        <v>99801103.950000003</v>
      </c>
      <c r="N153" s="102">
        <f t="shared" si="45"/>
        <v>1.2677979838117812</v>
      </c>
      <c r="O153" s="173"/>
      <c r="P153" s="173"/>
      <c r="S153" s="96">
        <v>2007</v>
      </c>
      <c r="T153" s="112">
        <v>2359624</v>
      </c>
      <c r="U153" s="112">
        <v>184191344</v>
      </c>
      <c r="V153" s="102">
        <f t="shared" si="46"/>
        <v>1.2810721441937032</v>
      </c>
      <c r="W153" s="173"/>
      <c r="X153" s="173"/>
    </row>
    <row r="154" spans="2:24" ht="15.75">
      <c r="B154" s="96">
        <v>2008</v>
      </c>
      <c r="C154" s="101">
        <v>13528238</v>
      </c>
      <c r="D154" s="109">
        <v>151253119.41000003</v>
      </c>
      <c r="E154" s="102">
        <f t="shared" si="44"/>
        <v>8.9441051217787892E-2</v>
      </c>
      <c r="F154" s="173"/>
      <c r="G154" s="173"/>
      <c r="K154" s="96">
        <v>2008</v>
      </c>
      <c r="L154" s="101">
        <v>137724880.78999999</v>
      </c>
      <c r="M154" s="109">
        <v>106427159.41</v>
      </c>
      <c r="N154" s="102">
        <f t="shared" si="45"/>
        <v>1.2940764514763441</v>
      </c>
      <c r="O154" s="173"/>
      <c r="P154" s="173"/>
      <c r="S154" s="96">
        <v>2008</v>
      </c>
      <c r="T154" s="112">
        <v>2328964</v>
      </c>
      <c r="U154" s="112">
        <v>167658550</v>
      </c>
      <c r="V154" s="102">
        <f t="shared" si="46"/>
        <v>1.3891113814356619</v>
      </c>
      <c r="W154" s="173"/>
      <c r="X154" s="173"/>
    </row>
    <row r="155" spans="2:24" ht="15.75">
      <c r="B155" s="96">
        <v>2009</v>
      </c>
      <c r="C155" s="101">
        <v>14198760</v>
      </c>
      <c r="D155" s="110">
        <v>175307715</v>
      </c>
      <c r="E155" s="102">
        <f t="shared" si="44"/>
        <v>8.0993355027187477E-2</v>
      </c>
      <c r="F155" s="173"/>
      <c r="G155" s="173"/>
      <c r="K155" s="96">
        <v>2009</v>
      </c>
      <c r="L155" s="101">
        <v>161108955</v>
      </c>
      <c r="M155" s="110">
        <v>129163200</v>
      </c>
      <c r="N155" s="102">
        <f t="shared" si="45"/>
        <v>1.2473286121743654</v>
      </c>
      <c r="O155" s="173"/>
      <c r="P155" s="173"/>
      <c r="S155" s="96">
        <v>2009</v>
      </c>
      <c r="T155" s="121">
        <v>4362385</v>
      </c>
      <c r="U155" s="121">
        <v>232832592</v>
      </c>
      <c r="V155" s="102">
        <f t="shared" si="46"/>
        <v>1.8736144121953509</v>
      </c>
      <c r="W155" s="173"/>
      <c r="X155" s="173"/>
    </row>
    <row r="156" spans="2:24" ht="15.75">
      <c r="B156" s="96">
        <v>2010</v>
      </c>
      <c r="C156" s="101">
        <v>20995023</v>
      </c>
      <c r="D156" s="109">
        <v>227447161</v>
      </c>
      <c r="E156" s="102">
        <f t="shared" si="44"/>
        <v>9.2307254606708411E-2</v>
      </c>
      <c r="F156" s="173"/>
      <c r="G156" s="173"/>
      <c r="K156" s="96">
        <v>2010</v>
      </c>
      <c r="L156" s="101">
        <v>206452138</v>
      </c>
      <c r="M156" s="109">
        <v>175132451</v>
      </c>
      <c r="N156" s="102">
        <f t="shared" si="45"/>
        <v>1.1788342869706083</v>
      </c>
      <c r="O156" s="173"/>
      <c r="P156" s="173"/>
      <c r="S156" s="96">
        <v>2010</v>
      </c>
      <c r="T156" s="121">
        <v>6170195</v>
      </c>
      <c r="U156" s="121">
        <v>269438674</v>
      </c>
      <c r="V156" s="102">
        <f t="shared" si="46"/>
        <v>2.2900183215717576</v>
      </c>
      <c r="W156" s="173"/>
      <c r="X156" s="173"/>
    </row>
    <row r="157" spans="2:24" ht="15.75">
      <c r="B157" s="96">
        <v>2011</v>
      </c>
      <c r="C157" s="101">
        <v>30971114</v>
      </c>
      <c r="D157" s="109">
        <v>185312849</v>
      </c>
      <c r="E157" s="102">
        <f t="shared" si="44"/>
        <v>0.1671287995793535</v>
      </c>
      <c r="F157" s="173"/>
      <c r="G157" s="173"/>
      <c r="K157" s="96">
        <v>2011</v>
      </c>
      <c r="L157" s="101">
        <v>154341735</v>
      </c>
      <c r="M157" s="109">
        <v>138325960</v>
      </c>
      <c r="N157" s="102">
        <f t="shared" si="45"/>
        <v>1.1157828581128229</v>
      </c>
      <c r="O157" s="173"/>
      <c r="P157" s="173"/>
      <c r="S157" s="96">
        <v>2011</v>
      </c>
      <c r="T157" s="122">
        <v>4155265</v>
      </c>
      <c r="U157" s="121">
        <v>169860647</v>
      </c>
      <c r="V157" s="102">
        <f t="shared" si="46"/>
        <v>2.4462788017050237</v>
      </c>
      <c r="W157" s="173"/>
      <c r="X157" s="173"/>
    </row>
    <row r="158" spans="2:24" ht="15.75">
      <c r="B158" s="96">
        <v>2012</v>
      </c>
      <c r="C158" s="101">
        <v>30287855</v>
      </c>
      <c r="D158" s="109">
        <v>235056217</v>
      </c>
      <c r="E158" s="102">
        <f t="shared" si="44"/>
        <v>0.12885366482350902</v>
      </c>
      <c r="F158" s="174"/>
      <c r="G158" s="174"/>
      <c r="K158" s="96">
        <v>2012</v>
      </c>
      <c r="L158" s="101">
        <v>204768362</v>
      </c>
      <c r="M158" s="109">
        <v>184517763</v>
      </c>
      <c r="N158" s="102">
        <f t="shared" si="45"/>
        <v>1.1097487779536976</v>
      </c>
      <c r="O158" s="174"/>
      <c r="P158" s="174"/>
      <c r="S158" s="96">
        <v>2012</v>
      </c>
      <c r="T158" s="121">
        <v>6595395</v>
      </c>
      <c r="U158" s="121">
        <v>282940619</v>
      </c>
      <c r="V158" s="102">
        <f t="shared" si="46"/>
        <v>2.3310173785970263</v>
      </c>
      <c r="W158" s="174"/>
      <c r="X158" s="174"/>
    </row>
    <row r="161" spans="2:24" ht="15.75">
      <c r="B161" s="171" t="s">
        <v>71</v>
      </c>
      <c r="C161" s="171"/>
      <c r="D161" s="171"/>
      <c r="E161" s="171"/>
      <c r="F161" s="171"/>
      <c r="G161" s="171"/>
      <c r="K161" s="171" t="s">
        <v>71</v>
      </c>
      <c r="L161" s="171"/>
      <c r="M161" s="171"/>
      <c r="N161" s="171"/>
      <c r="O161" s="171"/>
      <c r="P161" s="171"/>
      <c r="S161" s="171" t="s">
        <v>71</v>
      </c>
      <c r="T161" s="171"/>
      <c r="U161" s="171"/>
      <c r="V161" s="171"/>
      <c r="W161" s="171"/>
      <c r="X161" s="171"/>
    </row>
    <row r="162" spans="2:24" ht="15.75">
      <c r="B162" s="96" t="s">
        <v>67</v>
      </c>
      <c r="C162" s="96" t="s">
        <v>78</v>
      </c>
      <c r="D162" s="96" t="s">
        <v>62</v>
      </c>
      <c r="E162" s="96" t="s">
        <v>63</v>
      </c>
      <c r="F162" s="96" t="s">
        <v>64</v>
      </c>
      <c r="G162" s="96" t="s">
        <v>65</v>
      </c>
      <c r="K162" s="96" t="s">
        <v>67</v>
      </c>
      <c r="L162" s="96" t="s">
        <v>82</v>
      </c>
      <c r="M162" s="96" t="s">
        <v>83</v>
      </c>
      <c r="N162" s="96" t="s">
        <v>63</v>
      </c>
      <c r="O162" s="96" t="s">
        <v>64</v>
      </c>
      <c r="P162" s="96" t="s">
        <v>65</v>
      </c>
      <c r="S162" s="96" t="s">
        <v>67</v>
      </c>
      <c r="T162" s="96" t="s">
        <v>89</v>
      </c>
      <c r="U162" s="96" t="s">
        <v>90</v>
      </c>
      <c r="V162" s="96" t="s">
        <v>91</v>
      </c>
      <c r="W162" s="96" t="s">
        <v>64</v>
      </c>
      <c r="X162" s="96" t="s">
        <v>65</v>
      </c>
    </row>
    <row r="163" spans="2:24" ht="15.75">
      <c r="B163" s="96">
        <v>2005</v>
      </c>
      <c r="C163" s="101">
        <v>14974419000</v>
      </c>
      <c r="D163" s="103">
        <v>35572772000</v>
      </c>
      <c r="E163" s="102">
        <f>C163/D163</f>
        <v>0.42095170429788265</v>
      </c>
      <c r="F163" s="172">
        <f>SUM(E163:E170)/8</f>
        <v>0.49393543692309583</v>
      </c>
      <c r="G163" s="172">
        <f>STDEV(E163,E164,E165,E166,E167,E168,E169,E170)</f>
        <v>5.7661277015814284E-2</v>
      </c>
      <c r="K163" s="96">
        <v>2005</v>
      </c>
      <c r="L163" s="101">
        <v>20598353000</v>
      </c>
      <c r="M163" s="103">
        <v>14722678000</v>
      </c>
      <c r="N163" s="102">
        <f>L163/M163</f>
        <v>1.399090097603167</v>
      </c>
      <c r="O163" s="172">
        <f>SUM(N163:N170)/8</f>
        <v>1.6973936980303885</v>
      </c>
      <c r="P163" s="172">
        <f>STDEV(N163,N164,N165,N166,N167,N168,N169,N170)</f>
        <v>0.6054936283000506</v>
      </c>
      <c r="S163" s="96">
        <v>2005</v>
      </c>
      <c r="T163" s="112">
        <v>3542461326</v>
      </c>
      <c r="U163" s="112">
        <v>9194297192</v>
      </c>
      <c r="V163" s="102">
        <f>T163/U163*100</f>
        <v>38.528897337387704</v>
      </c>
      <c r="W163" s="172">
        <f>SUM(V163:V170)/8</f>
        <v>42.376056671061093</v>
      </c>
      <c r="X163" s="172">
        <f>STDEV(V163,V164,V165,V166,V167,V168,V169,V170)</f>
        <v>4.7521941974524182</v>
      </c>
    </row>
    <row r="164" spans="2:24" ht="15.75">
      <c r="B164" s="96">
        <v>2006</v>
      </c>
      <c r="C164" s="74">
        <v>16824884000</v>
      </c>
      <c r="D164" s="102">
        <v>39351406000</v>
      </c>
      <c r="E164" s="102">
        <f t="shared" ref="E164:E170" si="47">C164/D164</f>
        <v>0.42755483755777368</v>
      </c>
      <c r="F164" s="173"/>
      <c r="G164" s="173"/>
      <c r="K164" s="96">
        <v>2006</v>
      </c>
      <c r="L164" s="74">
        <v>22526522000</v>
      </c>
      <c r="M164" s="102">
        <v>15665379000</v>
      </c>
      <c r="N164" s="102">
        <f t="shared" ref="N164:N169" si="48">L164/M164</f>
        <v>1.4379812962073883</v>
      </c>
      <c r="O164" s="173"/>
      <c r="P164" s="173"/>
      <c r="S164" s="96">
        <v>2006</v>
      </c>
      <c r="T164" s="112">
        <v>4936647252</v>
      </c>
      <c r="U164" s="112">
        <v>11058914824</v>
      </c>
      <c r="V164" s="102">
        <f t="shared" ref="V164:V170" si="49">T164/U164*100</f>
        <v>44.639526848389444</v>
      </c>
      <c r="W164" s="173"/>
      <c r="X164" s="173"/>
    </row>
    <row r="165" spans="2:24" ht="15.75">
      <c r="B165" s="96">
        <v>2007</v>
      </c>
      <c r="C165" s="102">
        <v>20141360790</v>
      </c>
      <c r="D165" s="1">
        <v>43661114562</v>
      </c>
      <c r="E165" s="102">
        <f t="shared" si="47"/>
        <v>0.46131119171038809</v>
      </c>
      <c r="F165" s="173"/>
      <c r="G165" s="173"/>
      <c r="K165" s="96">
        <v>2007</v>
      </c>
      <c r="L165" s="102">
        <v>23519753772</v>
      </c>
      <c r="M165" s="1">
        <v>43661114562</v>
      </c>
      <c r="N165" s="102">
        <f t="shared" si="48"/>
        <v>0.53868880828961185</v>
      </c>
      <c r="O165" s="173"/>
      <c r="P165" s="173"/>
      <c r="S165" s="96">
        <v>2007</v>
      </c>
      <c r="T165" s="112">
        <v>5652688491</v>
      </c>
      <c r="U165" s="112">
        <v>14751623805</v>
      </c>
      <c r="V165" s="102">
        <f t="shared" si="49"/>
        <v>38.31909331285987</v>
      </c>
      <c r="W165" s="173"/>
      <c r="X165" s="173"/>
    </row>
    <row r="166" spans="2:24" ht="15.75">
      <c r="B166" s="96">
        <v>2008</v>
      </c>
      <c r="C166" s="102">
        <v>26180823698</v>
      </c>
      <c r="D166" s="102">
        <v>50194186870</v>
      </c>
      <c r="E166" s="102">
        <f t="shared" si="47"/>
        <v>0.52159075244722652</v>
      </c>
      <c r="F166" s="173"/>
      <c r="G166" s="173"/>
      <c r="K166" s="96">
        <v>2008</v>
      </c>
      <c r="L166" s="102">
        <v>24013363172</v>
      </c>
      <c r="M166" s="102">
        <v>11518713104</v>
      </c>
      <c r="N166" s="102">
        <f t="shared" si="48"/>
        <v>2.0847262150891748</v>
      </c>
      <c r="O166" s="173"/>
      <c r="P166" s="173"/>
      <c r="S166" s="96">
        <v>2008</v>
      </c>
      <c r="T166" s="112">
        <v>7942901598</v>
      </c>
      <c r="U166" s="112">
        <v>16788359646</v>
      </c>
      <c r="V166" s="102">
        <f t="shared" si="49"/>
        <v>47.311957603269946</v>
      </c>
      <c r="W166" s="173"/>
      <c r="X166" s="173"/>
    </row>
    <row r="167" spans="2:24" ht="15.75">
      <c r="B167" s="96">
        <v>2009</v>
      </c>
      <c r="C167" s="102">
        <v>31023128807</v>
      </c>
      <c r="D167" s="104">
        <v>58686689120</v>
      </c>
      <c r="E167" s="102">
        <f t="shared" si="47"/>
        <v>0.52862291726093547</v>
      </c>
      <c r="F167" s="173"/>
      <c r="G167" s="173"/>
      <c r="K167" s="96">
        <v>2009</v>
      </c>
      <c r="L167" s="102">
        <v>27663560313</v>
      </c>
      <c r="M167" s="104">
        <v>12406063044</v>
      </c>
      <c r="N167" s="102">
        <f t="shared" si="48"/>
        <v>2.2298419905563072</v>
      </c>
      <c r="O167" s="173"/>
      <c r="P167" s="173"/>
      <c r="S167" s="96">
        <v>2009</v>
      </c>
      <c r="T167" s="121">
        <v>10178024718</v>
      </c>
      <c r="U167" s="121">
        <v>20646628886</v>
      </c>
      <c r="V167" s="102">
        <f t="shared" si="49"/>
        <v>49.296302918010419</v>
      </c>
      <c r="W167" s="173"/>
      <c r="X167" s="173"/>
    </row>
    <row r="168" spans="2:24" ht="15.75">
      <c r="B168" s="96">
        <v>2010</v>
      </c>
      <c r="C168" s="102">
        <v>33280267652</v>
      </c>
      <c r="D168" s="102">
        <v>66835844174</v>
      </c>
      <c r="E168" s="102">
        <f t="shared" si="47"/>
        <v>0.49794041001948547</v>
      </c>
      <c r="F168" s="173"/>
      <c r="G168" s="173"/>
      <c r="K168" s="96">
        <v>2010</v>
      </c>
      <c r="L168" s="102">
        <v>33555576522</v>
      </c>
      <c r="M168" s="102">
        <v>13462143285</v>
      </c>
      <c r="N168" s="102">
        <f t="shared" si="48"/>
        <v>2.4925879788687748</v>
      </c>
      <c r="O168" s="173"/>
      <c r="P168" s="173"/>
      <c r="S168" s="96">
        <v>2010</v>
      </c>
      <c r="T168" s="121">
        <v>10775154464</v>
      </c>
      <c r="U168" s="121">
        <v>25058303890</v>
      </c>
      <c r="V168" s="102">
        <f t="shared" si="49"/>
        <v>43.000334385361306</v>
      </c>
      <c r="W168" s="173"/>
      <c r="X168" s="173"/>
    </row>
    <row r="169" spans="2:24" ht="15.75">
      <c r="B169" s="96">
        <v>2011</v>
      </c>
      <c r="C169" s="102">
        <v>56856091689</v>
      </c>
      <c r="D169" s="102">
        <v>95345636731</v>
      </c>
      <c r="E169" s="102">
        <f t="shared" si="47"/>
        <v>0.59631561168770519</v>
      </c>
      <c r="F169" s="173"/>
      <c r="G169" s="173"/>
      <c r="K169" s="96">
        <v>2011</v>
      </c>
      <c r="L169" s="102">
        <v>38489545042</v>
      </c>
      <c r="M169" s="102">
        <v>23052164321</v>
      </c>
      <c r="N169" s="102">
        <f t="shared" si="48"/>
        <v>1.6696716415012232</v>
      </c>
      <c r="O169" s="173"/>
      <c r="P169" s="173"/>
      <c r="S169" s="96">
        <v>2011</v>
      </c>
      <c r="T169" s="122">
        <v>12120298794</v>
      </c>
      <c r="U169" s="121">
        <v>28492515726</v>
      </c>
      <c r="V169" s="102">
        <f t="shared" si="49"/>
        <v>42.538535068491626</v>
      </c>
      <c r="W169" s="173"/>
      <c r="X169" s="173"/>
    </row>
    <row r="170" spans="2:24" ht="15.75">
      <c r="B170" s="96">
        <v>2012</v>
      </c>
      <c r="C170" s="102">
        <v>52662176163</v>
      </c>
      <c r="D170" s="102">
        <v>105918327392</v>
      </c>
      <c r="E170" s="102">
        <f t="shared" si="47"/>
        <v>0.49719607040336977</v>
      </c>
      <c r="F170" s="174"/>
      <c r="G170" s="174"/>
      <c r="K170" s="96">
        <v>2012</v>
      </c>
      <c r="L170" s="102">
        <v>53256151230</v>
      </c>
      <c r="M170" s="102">
        <v>30845208525</v>
      </c>
      <c r="N170" s="102">
        <f>L170/M170</f>
        <v>1.7265615561274601</v>
      </c>
      <c r="O170" s="174"/>
      <c r="P170" s="174"/>
      <c r="S170" s="96">
        <v>2012</v>
      </c>
      <c r="T170" s="121">
        <v>11605269582</v>
      </c>
      <c r="U170" s="121">
        <v>32807523218</v>
      </c>
      <c r="V170" s="102">
        <f t="shared" si="49"/>
        <v>35.373805894718423</v>
      </c>
      <c r="W170" s="174"/>
      <c r="X170" s="174"/>
    </row>
    <row r="183" spans="11:24" ht="15.75">
      <c r="K183" s="157" t="s">
        <v>95</v>
      </c>
      <c r="L183" s="157"/>
      <c r="M183" s="157"/>
      <c r="N183" s="157"/>
      <c r="O183" s="157"/>
      <c r="P183" s="157"/>
      <c r="S183" s="157" t="s">
        <v>93</v>
      </c>
      <c r="T183" s="157"/>
      <c r="U183" s="157"/>
      <c r="V183" s="157"/>
      <c r="W183" s="157"/>
      <c r="X183" s="157"/>
    </row>
    <row r="184" spans="11:24" ht="15.75">
      <c r="K184" s="106"/>
      <c r="L184" s="106"/>
      <c r="M184" s="106"/>
      <c r="N184" s="106"/>
      <c r="O184" s="106"/>
      <c r="P184" s="73"/>
    </row>
    <row r="185" spans="11:24" ht="15.75">
      <c r="K185" s="165" t="s">
        <v>0</v>
      </c>
      <c r="L185" s="166"/>
      <c r="M185" s="166"/>
      <c r="N185" s="166"/>
      <c r="O185" s="166"/>
      <c r="P185" s="167"/>
      <c r="S185" s="165" t="s">
        <v>0</v>
      </c>
      <c r="T185" s="166"/>
      <c r="U185" s="166"/>
      <c r="V185" s="166"/>
      <c r="W185" s="166"/>
      <c r="X185" s="167"/>
    </row>
    <row r="186" spans="11:24" ht="15.75">
      <c r="K186" s="96" t="s">
        <v>67</v>
      </c>
      <c r="L186" s="96" t="s">
        <v>90</v>
      </c>
      <c r="M186" s="96" t="s">
        <v>78</v>
      </c>
      <c r="N186" s="96" t="s">
        <v>63</v>
      </c>
      <c r="O186" s="96" t="s">
        <v>64</v>
      </c>
      <c r="P186" s="96" t="s">
        <v>65</v>
      </c>
      <c r="S186" s="96" t="s">
        <v>67</v>
      </c>
      <c r="T186" s="96" t="s">
        <v>94</v>
      </c>
      <c r="U186" s="96" t="s">
        <v>90</v>
      </c>
      <c r="V186" s="96" t="s">
        <v>104</v>
      </c>
      <c r="W186" s="96" t="s">
        <v>64</v>
      </c>
      <c r="X186" s="96" t="s">
        <v>65</v>
      </c>
    </row>
    <row r="187" spans="11:24" ht="15.75">
      <c r="K187" s="96">
        <v>2005</v>
      </c>
      <c r="L187" s="101">
        <v>2193935368</v>
      </c>
      <c r="M187" s="101">
        <v>1834917611</v>
      </c>
      <c r="N187" s="102">
        <f>L187/M187</f>
        <v>1.1956587886277581</v>
      </c>
      <c r="O187" s="172">
        <f>SUM(N187:N194)/8</f>
        <v>1.5435312102049954</v>
      </c>
      <c r="P187" s="172">
        <f>STDEV(N187,N188,N189,N190,N191,N192,N193,N194)</f>
        <v>0.46008582662604486</v>
      </c>
      <c r="S187" s="96">
        <v>2005</v>
      </c>
      <c r="T187" s="115">
        <v>82292322</v>
      </c>
      <c r="U187" s="101">
        <v>2193935368</v>
      </c>
      <c r="V187" s="102">
        <f>(T187/U187)*100</f>
        <v>3.7509000128393937</v>
      </c>
      <c r="W187" s="172">
        <f>SUM(V187:V194)/8</f>
        <v>4.1445476713889269</v>
      </c>
      <c r="X187" s="172">
        <f>STDEV(V187,V188,V189,V190,V191,V192,V193,V194)</f>
        <v>1.3654255222310818</v>
      </c>
    </row>
    <row r="188" spans="11:24" ht="15.75">
      <c r="K188" s="96">
        <v>2006</v>
      </c>
      <c r="L188" s="101">
        <v>1850551513</v>
      </c>
      <c r="M188" s="101">
        <v>1835329435</v>
      </c>
      <c r="N188" s="102">
        <f t="shared" ref="N188:N193" si="50">L188/M188</f>
        <v>1.0082939213580477</v>
      </c>
      <c r="O188" s="173"/>
      <c r="P188" s="173"/>
      <c r="S188" s="96">
        <v>2006</v>
      </c>
      <c r="T188" s="101">
        <v>88365099</v>
      </c>
      <c r="U188" s="101">
        <v>1850551513</v>
      </c>
      <c r="V188" s="102">
        <f t="shared" ref="V188:V194" si="51">(T188/U188)*100</f>
        <v>4.7750683177010274</v>
      </c>
      <c r="W188" s="173"/>
      <c r="X188" s="173"/>
    </row>
    <row r="189" spans="11:24" ht="15.75">
      <c r="K189" s="96">
        <v>2007</v>
      </c>
      <c r="L189" s="101">
        <v>1916218180</v>
      </c>
      <c r="M189" s="101">
        <v>1746522032</v>
      </c>
      <c r="N189" s="102">
        <f t="shared" si="50"/>
        <v>1.0971623288402925</v>
      </c>
      <c r="O189" s="173"/>
      <c r="P189" s="173"/>
      <c r="S189" s="96">
        <v>2007</v>
      </c>
      <c r="T189" s="101">
        <v>90478776</v>
      </c>
      <c r="U189" s="101">
        <v>1916218180</v>
      </c>
      <c r="V189" s="102">
        <f t="shared" si="51"/>
        <v>4.721736644832375</v>
      </c>
      <c r="W189" s="173"/>
      <c r="X189" s="173"/>
    </row>
    <row r="190" spans="11:24" ht="15.75">
      <c r="K190" s="96">
        <v>2008</v>
      </c>
      <c r="L190" s="101">
        <v>2138957424</v>
      </c>
      <c r="M190" s="101">
        <v>1744765716</v>
      </c>
      <c r="N190" s="102">
        <f t="shared" si="50"/>
        <v>1.2259281600877123</v>
      </c>
      <c r="O190" s="173"/>
      <c r="P190" s="173"/>
      <c r="S190" s="96">
        <v>2008</v>
      </c>
      <c r="T190" s="101">
        <v>114353837</v>
      </c>
      <c r="U190" s="101">
        <v>2138957424</v>
      </c>
      <c r="V190" s="102">
        <f t="shared" si="51"/>
        <v>5.3462418520771831</v>
      </c>
      <c r="W190" s="173"/>
      <c r="X190" s="173"/>
    </row>
    <row r="191" spans="11:24" ht="15.75">
      <c r="K191" s="96">
        <v>2009</v>
      </c>
      <c r="L191" s="101">
        <v>3190432746</v>
      </c>
      <c r="M191" s="101">
        <v>1738996641</v>
      </c>
      <c r="N191" s="102">
        <f t="shared" si="50"/>
        <v>1.8346399704172862</v>
      </c>
      <c r="O191" s="173"/>
      <c r="P191" s="173"/>
      <c r="S191" s="96">
        <v>2009</v>
      </c>
      <c r="T191" s="101">
        <v>142464215</v>
      </c>
      <c r="U191" s="101">
        <v>3190432746</v>
      </c>
      <c r="V191" s="102">
        <f t="shared" si="51"/>
        <v>4.46535709547911</v>
      </c>
      <c r="W191" s="173"/>
      <c r="X191" s="173"/>
    </row>
    <row r="192" spans="11:24" ht="15.75">
      <c r="K192" s="96">
        <v>2010</v>
      </c>
      <c r="L192" s="101">
        <v>3366335450</v>
      </c>
      <c r="M192" s="101">
        <v>1712347705</v>
      </c>
      <c r="N192" s="102">
        <f t="shared" si="50"/>
        <v>1.9659181602956042</v>
      </c>
      <c r="O192" s="173"/>
      <c r="P192" s="173"/>
      <c r="S192" s="96">
        <v>2010</v>
      </c>
      <c r="T192" s="101">
        <v>193593038</v>
      </c>
      <c r="U192" s="101">
        <v>3366335450</v>
      </c>
      <c r="V192" s="102">
        <f t="shared" si="51"/>
        <v>5.7508540332782339</v>
      </c>
      <c r="W192" s="173"/>
      <c r="X192" s="173"/>
    </row>
    <row r="193" spans="11:24" ht="15.75">
      <c r="K193" s="96">
        <v>2011</v>
      </c>
      <c r="L193" s="101">
        <v>3874062721</v>
      </c>
      <c r="M193" s="101">
        <v>2132797656</v>
      </c>
      <c r="N193" s="102">
        <f t="shared" si="50"/>
        <v>1.8164230020140271</v>
      </c>
      <c r="O193" s="173"/>
      <c r="P193" s="173"/>
      <c r="S193" s="96">
        <v>2011</v>
      </c>
      <c r="T193" s="115">
        <v>98282030</v>
      </c>
      <c r="U193" s="101">
        <v>3874062721</v>
      </c>
      <c r="V193" s="102">
        <f t="shared" si="51"/>
        <v>2.5369240788809622</v>
      </c>
      <c r="W193" s="173"/>
      <c r="X193" s="173"/>
    </row>
    <row r="194" spans="11:24" ht="15.75">
      <c r="K194" s="96">
        <v>2012</v>
      </c>
      <c r="L194" s="101">
        <v>4619853406</v>
      </c>
      <c r="M194" s="101">
        <v>2095907937</v>
      </c>
      <c r="N194" s="102">
        <f>L194/M194</f>
        <v>2.204225349999235</v>
      </c>
      <c r="O194" s="174"/>
      <c r="P194" s="174"/>
      <c r="S194" s="96">
        <v>2012</v>
      </c>
      <c r="T194" s="101">
        <v>83586977</v>
      </c>
      <c r="U194" s="101">
        <v>4619853406</v>
      </c>
      <c r="V194" s="102">
        <f t="shared" si="51"/>
        <v>1.8092993360231309</v>
      </c>
      <c r="W194" s="174"/>
      <c r="X194" s="174"/>
    </row>
    <row r="195" spans="11:24">
      <c r="K195" s="97"/>
    </row>
    <row r="196" spans="11:24">
      <c r="K196" s="97"/>
    </row>
    <row r="197" spans="11:24" ht="15.75">
      <c r="K197" s="175" t="s">
        <v>68</v>
      </c>
      <c r="L197" s="175"/>
      <c r="M197" s="175"/>
      <c r="N197" s="175"/>
      <c r="O197" s="175"/>
      <c r="P197" s="175"/>
      <c r="S197" s="175" t="s">
        <v>68</v>
      </c>
      <c r="T197" s="175"/>
      <c r="U197" s="175"/>
      <c r="V197" s="175"/>
      <c r="W197" s="175"/>
      <c r="X197" s="175"/>
    </row>
    <row r="198" spans="11:24" ht="15.75">
      <c r="K198" s="96" t="s">
        <v>67</v>
      </c>
      <c r="L198" s="96" t="s">
        <v>90</v>
      </c>
      <c r="M198" s="96" t="s">
        <v>78</v>
      </c>
      <c r="N198" s="96" t="s">
        <v>63</v>
      </c>
      <c r="O198" s="96" t="s">
        <v>64</v>
      </c>
      <c r="P198" s="96" t="s">
        <v>65</v>
      </c>
      <c r="S198" s="96" t="s">
        <v>67</v>
      </c>
      <c r="T198" s="96" t="s">
        <v>94</v>
      </c>
      <c r="U198" s="96" t="s">
        <v>90</v>
      </c>
      <c r="V198" s="96" t="s">
        <v>104</v>
      </c>
      <c r="W198" s="96" t="s">
        <v>64</v>
      </c>
      <c r="X198" s="96" t="s">
        <v>65</v>
      </c>
    </row>
    <row r="199" spans="11:24" ht="15.75">
      <c r="K199" s="96">
        <v>2005</v>
      </c>
      <c r="L199" s="101">
        <v>61489634</v>
      </c>
      <c r="M199" s="102">
        <v>67967744</v>
      </c>
      <c r="N199" s="102">
        <f>L199/M199</f>
        <v>0.9046884651637106</v>
      </c>
      <c r="O199" s="172">
        <f>SUM(N198:N206)/8</f>
        <v>1.2408313619953828</v>
      </c>
      <c r="P199" s="172">
        <f>STDEV(N199,N200,N201,N202,N203,N204,N205,N206)</f>
        <v>0.39376337541916268</v>
      </c>
      <c r="S199" s="96">
        <v>2005</v>
      </c>
      <c r="T199" s="115">
        <v>9598557</v>
      </c>
      <c r="U199" s="101">
        <v>61489634</v>
      </c>
      <c r="V199" s="102">
        <f>(T199/U199)*100</f>
        <v>15.610040872905504</v>
      </c>
      <c r="W199" s="172">
        <f>SUM(V199:V206)/8</f>
        <v>24.101990974128153</v>
      </c>
      <c r="X199" s="172">
        <f>STDEV(V199,V200,V201,V202,V203,V204,V205,V206)</f>
        <v>5.4713904555245056</v>
      </c>
    </row>
    <row r="200" spans="11:24" ht="15.75">
      <c r="K200" s="96">
        <v>2006</v>
      </c>
      <c r="L200" s="101">
        <v>67395457</v>
      </c>
      <c r="M200" s="102">
        <v>71372373</v>
      </c>
      <c r="N200" s="102">
        <f t="shared" ref="N200:N206" si="52">L200/M200</f>
        <v>0.94427933620758275</v>
      </c>
      <c r="O200" s="173"/>
      <c r="P200" s="173"/>
      <c r="S200" s="96">
        <v>2006</v>
      </c>
      <c r="T200" s="101">
        <v>11976608</v>
      </c>
      <c r="U200" s="101">
        <v>67395457</v>
      </c>
      <c r="V200" s="102">
        <f t="shared" ref="V200:V206" si="53">(T200/U200)*100</f>
        <v>17.770645876026926</v>
      </c>
      <c r="W200" s="173"/>
      <c r="X200" s="173"/>
    </row>
    <row r="201" spans="11:24" ht="15.75">
      <c r="K201" s="96">
        <v>2007</v>
      </c>
      <c r="L201" s="101">
        <v>69572923</v>
      </c>
      <c r="M201" s="102">
        <v>70637453</v>
      </c>
      <c r="N201" s="102">
        <f t="shared" si="52"/>
        <v>0.98492966613617849</v>
      </c>
      <c r="O201" s="173"/>
      <c r="P201" s="173"/>
      <c r="S201" s="96">
        <v>2007</v>
      </c>
      <c r="T201" s="101">
        <v>15289648</v>
      </c>
      <c r="U201" s="101">
        <v>69572923</v>
      </c>
      <c r="V201" s="102">
        <f t="shared" si="53"/>
        <v>21.976434711532818</v>
      </c>
      <c r="W201" s="173"/>
      <c r="X201" s="173"/>
    </row>
    <row r="202" spans="11:24" ht="15.75">
      <c r="K202" s="96">
        <v>2008</v>
      </c>
      <c r="L202" s="101">
        <v>76179163</v>
      </c>
      <c r="M202" s="102">
        <v>103365009</v>
      </c>
      <c r="N202" s="102">
        <f t="shared" si="52"/>
        <v>0.73699178993928205</v>
      </c>
      <c r="O202" s="173"/>
      <c r="P202" s="173"/>
      <c r="S202" s="96">
        <v>2008</v>
      </c>
      <c r="T202" s="101">
        <v>19835607</v>
      </c>
      <c r="U202" s="101">
        <v>76179163</v>
      </c>
      <c r="V202" s="102">
        <f t="shared" si="53"/>
        <v>26.038100471122267</v>
      </c>
      <c r="W202" s="173"/>
      <c r="X202" s="173"/>
    </row>
    <row r="203" spans="11:24" ht="15.75">
      <c r="K203" s="96">
        <v>2009</v>
      </c>
      <c r="L203" s="101">
        <v>80230075</v>
      </c>
      <c r="M203" s="102">
        <v>57944621</v>
      </c>
      <c r="N203" s="102">
        <f t="shared" si="52"/>
        <v>1.3845991847974983</v>
      </c>
      <c r="O203" s="173"/>
      <c r="P203" s="173"/>
      <c r="S203" s="96">
        <v>2009</v>
      </c>
      <c r="T203" s="101">
        <v>23758201</v>
      </c>
      <c r="U203" s="101">
        <v>80230075</v>
      </c>
      <c r="V203" s="102">
        <f t="shared" si="53"/>
        <v>29.612587299712732</v>
      </c>
      <c r="W203" s="173"/>
      <c r="X203" s="173"/>
    </row>
    <row r="204" spans="11:24" ht="15.75">
      <c r="K204" s="96">
        <v>2010</v>
      </c>
      <c r="L204" s="101">
        <v>90464727</v>
      </c>
      <c r="M204" s="102">
        <v>57908044</v>
      </c>
      <c r="N204" s="102">
        <f t="shared" si="52"/>
        <v>1.5622134810839061</v>
      </c>
      <c r="O204" s="173"/>
      <c r="P204" s="173"/>
      <c r="S204" s="96">
        <v>2010</v>
      </c>
      <c r="T204" s="101">
        <v>25306932</v>
      </c>
      <c r="U204" s="101">
        <v>90464727</v>
      </c>
      <c r="V204" s="102">
        <f t="shared" si="53"/>
        <v>27.97436397503305</v>
      </c>
      <c r="W204" s="173"/>
      <c r="X204" s="173"/>
    </row>
    <row r="205" spans="11:24" ht="15.75">
      <c r="K205" s="96">
        <v>2011</v>
      </c>
      <c r="L205" s="101">
        <v>100181791</v>
      </c>
      <c r="M205" s="102">
        <v>61473044</v>
      </c>
      <c r="N205" s="102">
        <f t="shared" si="52"/>
        <v>1.6296865175571915</v>
      </c>
      <c r="O205" s="173"/>
      <c r="P205" s="173"/>
      <c r="S205" s="96">
        <v>2011</v>
      </c>
      <c r="T205" s="101">
        <v>23225524</v>
      </c>
      <c r="U205" s="101">
        <v>100181791</v>
      </c>
      <c r="V205" s="102">
        <f t="shared" si="53"/>
        <v>23.183378704020175</v>
      </c>
      <c r="W205" s="173"/>
      <c r="X205" s="173"/>
    </row>
    <row r="206" spans="11:24" ht="15.75">
      <c r="K206" s="96">
        <v>2012</v>
      </c>
      <c r="L206" s="101">
        <v>105856170</v>
      </c>
      <c r="M206" s="116">
        <v>59494410</v>
      </c>
      <c r="N206" s="102">
        <f t="shared" si="52"/>
        <v>1.7792624550777123</v>
      </c>
      <c r="O206" s="174"/>
      <c r="P206" s="174"/>
      <c r="S206" s="96">
        <v>2012</v>
      </c>
      <c r="T206" s="101">
        <v>32445314</v>
      </c>
      <c r="U206" s="101">
        <v>105856170</v>
      </c>
      <c r="V206" s="102">
        <f t="shared" si="53"/>
        <v>30.650375882671742</v>
      </c>
      <c r="W206" s="174"/>
      <c r="X206" s="174"/>
    </row>
    <row r="209" spans="11:24" ht="15.75">
      <c r="K209" s="175" t="s">
        <v>69</v>
      </c>
      <c r="L209" s="175"/>
      <c r="M209" s="175"/>
      <c r="N209" s="175"/>
      <c r="O209" s="175"/>
      <c r="P209" s="175"/>
      <c r="S209" s="175" t="s">
        <v>69</v>
      </c>
      <c r="T209" s="175"/>
      <c r="U209" s="175"/>
      <c r="V209" s="175"/>
      <c r="W209" s="175"/>
      <c r="X209" s="175"/>
    </row>
    <row r="210" spans="11:24" ht="15.75">
      <c r="K210" s="96" t="s">
        <v>67</v>
      </c>
      <c r="L210" s="96" t="s">
        <v>90</v>
      </c>
      <c r="M210" s="96" t="s">
        <v>78</v>
      </c>
      <c r="N210" s="96" t="s">
        <v>63</v>
      </c>
      <c r="O210" s="96" t="s">
        <v>64</v>
      </c>
      <c r="P210" s="96" t="s">
        <v>65</v>
      </c>
      <c r="S210" s="96" t="s">
        <v>67</v>
      </c>
      <c r="T210" s="96" t="s">
        <v>94</v>
      </c>
      <c r="U210" s="96" t="s">
        <v>90</v>
      </c>
      <c r="V210" s="96" t="s">
        <v>63</v>
      </c>
      <c r="W210" s="96" t="s">
        <v>64</v>
      </c>
      <c r="X210" s="96" t="s">
        <v>65</v>
      </c>
    </row>
    <row r="211" spans="11:24" ht="15.75">
      <c r="K211" s="96">
        <v>2005</v>
      </c>
      <c r="L211" s="101">
        <v>223358972</v>
      </c>
      <c r="M211" s="101">
        <v>11139260</v>
      </c>
      <c r="N211" s="102">
        <f>L211/M211</f>
        <v>20.051508987131999</v>
      </c>
      <c r="O211" s="172">
        <f>SUM(N211:N218)/8</f>
        <v>25.037328286116391</v>
      </c>
      <c r="P211" s="172">
        <f>STDEV(N211,N212,N213,N214,N215,N216,N217,N218)</f>
        <v>18.169267240731394</v>
      </c>
      <c r="S211" s="96">
        <v>2005</v>
      </c>
      <c r="T211" s="115">
        <v>5774408</v>
      </c>
      <c r="U211" s="101">
        <v>223358972</v>
      </c>
      <c r="V211" s="102">
        <f>(T211/U211)*100</f>
        <v>2.5852590331585157</v>
      </c>
      <c r="W211" s="172">
        <f>SUM(V211:V218)/8</f>
        <v>3.2284361782146855</v>
      </c>
      <c r="X211" s="172">
        <f>STDEV(V211,V212,V213,V214,V215,V216,V217,V218)</f>
        <v>0.77693958703814825</v>
      </c>
    </row>
    <row r="212" spans="11:24" ht="15.75">
      <c r="K212" s="96">
        <v>2006</v>
      </c>
      <c r="L212" s="101">
        <v>201311621</v>
      </c>
      <c r="M212" s="101">
        <v>9807692</v>
      </c>
      <c r="N212" s="102">
        <f t="shared" ref="N212:N218" si="54">L212/M212</f>
        <v>20.525891412576986</v>
      </c>
      <c r="O212" s="173"/>
      <c r="P212" s="173"/>
      <c r="S212" s="96">
        <v>2006</v>
      </c>
      <c r="T212" s="101">
        <f>SUM(7063069+803018)</f>
        <v>7866087</v>
      </c>
      <c r="U212" s="101">
        <v>201311621</v>
      </c>
      <c r="V212" s="102">
        <f t="shared" ref="V212:V217" si="55">(T212/U212)*100</f>
        <v>3.9074182408972806</v>
      </c>
      <c r="W212" s="173"/>
      <c r="X212" s="173"/>
    </row>
    <row r="213" spans="11:24" ht="15.75">
      <c r="K213" s="96">
        <v>2007</v>
      </c>
      <c r="L213" s="101">
        <v>336361547</v>
      </c>
      <c r="M213" s="101">
        <v>8683795</v>
      </c>
      <c r="N213" s="102">
        <f t="shared" si="54"/>
        <v>38.734395157877401</v>
      </c>
      <c r="O213" s="173"/>
      <c r="P213" s="173"/>
      <c r="S213" s="96">
        <v>2007</v>
      </c>
      <c r="T213" s="101">
        <f>SUM(7444319+1517291)</f>
        <v>8961610</v>
      </c>
      <c r="U213" s="101">
        <v>336361547</v>
      </c>
      <c r="V213" s="102">
        <f t="shared" si="55"/>
        <v>2.6642789819253627</v>
      </c>
      <c r="W213" s="173"/>
      <c r="X213" s="173"/>
    </row>
    <row r="214" spans="11:24" ht="15.75">
      <c r="K214" s="96">
        <v>2008</v>
      </c>
      <c r="L214" s="101">
        <v>237785132</v>
      </c>
      <c r="M214" s="101">
        <v>7638706</v>
      </c>
      <c r="N214" s="102">
        <f t="shared" si="54"/>
        <v>31.128980746215394</v>
      </c>
      <c r="O214" s="173"/>
      <c r="P214" s="173"/>
      <c r="S214" s="96">
        <v>2008</v>
      </c>
      <c r="T214" s="101">
        <f>SUM(8009762+1759292)</f>
        <v>9769054</v>
      </c>
      <c r="U214" s="101">
        <v>237785132</v>
      </c>
      <c r="V214" s="102">
        <f t="shared" si="55"/>
        <v>4.1083535870527008</v>
      </c>
      <c r="W214" s="173"/>
      <c r="X214" s="173"/>
    </row>
    <row r="215" spans="11:24" ht="15.75">
      <c r="K215" s="96">
        <v>2009</v>
      </c>
      <c r="L215" s="101">
        <v>481257832</v>
      </c>
      <c r="M215" s="101">
        <v>8082950</v>
      </c>
      <c r="N215" s="102">
        <f t="shared" si="54"/>
        <v>59.539874921903511</v>
      </c>
      <c r="O215" s="173"/>
      <c r="P215" s="173"/>
      <c r="S215" s="96">
        <v>2009</v>
      </c>
      <c r="T215" s="101">
        <v>12290126</v>
      </c>
      <c r="U215" s="101">
        <v>481257832</v>
      </c>
      <c r="V215" s="102">
        <f t="shared" si="55"/>
        <v>2.5537508551133561</v>
      </c>
      <c r="W215" s="173"/>
      <c r="X215" s="173"/>
    </row>
    <row r="216" spans="11:24" ht="15.75">
      <c r="K216" s="96">
        <v>2010</v>
      </c>
      <c r="L216" s="101">
        <v>582857856</v>
      </c>
      <c r="M216" s="102">
        <v>110417592</v>
      </c>
      <c r="N216" s="102">
        <f t="shared" si="54"/>
        <v>5.2786684208798906</v>
      </c>
      <c r="O216" s="173"/>
      <c r="P216" s="173"/>
      <c r="S216" s="96">
        <v>2010</v>
      </c>
      <c r="T216" s="101">
        <f>SUM(10571071+2918953)</f>
        <v>13490024</v>
      </c>
      <c r="U216" s="101">
        <v>582857856</v>
      </c>
      <c r="V216" s="102">
        <f t="shared" si="55"/>
        <v>2.3144620701483691</v>
      </c>
      <c r="W216" s="173"/>
      <c r="X216" s="173"/>
    </row>
    <row r="217" spans="11:24" ht="15.75">
      <c r="K217" s="96">
        <v>2011</v>
      </c>
      <c r="L217" s="101">
        <v>384403902</v>
      </c>
      <c r="M217" s="102">
        <v>97198191</v>
      </c>
      <c r="N217" s="102">
        <f t="shared" si="54"/>
        <v>3.95484625840413</v>
      </c>
      <c r="O217" s="173"/>
      <c r="P217" s="173"/>
      <c r="S217" s="96">
        <v>2011</v>
      </c>
      <c r="T217" s="115">
        <f>SUM(11115924+2448942)</f>
        <v>13564866</v>
      </c>
      <c r="U217" s="101">
        <v>384403902</v>
      </c>
      <c r="V217" s="102">
        <f t="shared" si="55"/>
        <v>3.5288054906372937</v>
      </c>
      <c r="W217" s="173"/>
      <c r="X217" s="173"/>
    </row>
    <row r="218" spans="11:24" ht="15.75">
      <c r="K218" s="96">
        <v>2012</v>
      </c>
      <c r="L218" s="101">
        <v>338326164</v>
      </c>
      <c r="M218" s="101">
        <v>16046233</v>
      </c>
      <c r="N218" s="102">
        <f t="shared" si="54"/>
        <v>21.084460383941828</v>
      </c>
      <c r="O218" s="174"/>
      <c r="P218" s="174"/>
      <c r="S218" s="96">
        <v>2012</v>
      </c>
      <c r="T218" s="101">
        <f>SUM(11548876+2542954)</f>
        <v>14091830</v>
      </c>
      <c r="U218" s="101">
        <v>338326164</v>
      </c>
      <c r="V218" s="102">
        <f>(T218/U218)*100</f>
        <v>4.165161166784606</v>
      </c>
      <c r="W218" s="174"/>
      <c r="X218" s="174"/>
    </row>
    <row r="228" spans="11:24" ht="15.75">
      <c r="K228" s="171" t="s">
        <v>70</v>
      </c>
      <c r="L228" s="171"/>
      <c r="M228" s="171"/>
      <c r="N228" s="171"/>
      <c r="O228" s="171"/>
      <c r="P228" s="171"/>
      <c r="S228" s="171" t="s">
        <v>70</v>
      </c>
      <c r="T228" s="171"/>
      <c r="U228" s="171"/>
      <c r="V228" s="171"/>
      <c r="W228" s="171"/>
      <c r="X228" s="171"/>
    </row>
    <row r="229" spans="11:24" ht="15.75">
      <c r="K229" s="96" t="s">
        <v>67</v>
      </c>
      <c r="L229" s="96" t="s">
        <v>90</v>
      </c>
      <c r="M229" s="96" t="s">
        <v>78</v>
      </c>
      <c r="N229" s="96" t="s">
        <v>63</v>
      </c>
      <c r="O229" s="96" t="s">
        <v>64</v>
      </c>
      <c r="P229" s="96" t="s">
        <v>65</v>
      </c>
      <c r="S229" s="96" t="s">
        <v>67</v>
      </c>
      <c r="T229" s="96" t="s">
        <v>94</v>
      </c>
      <c r="U229" s="96" t="s">
        <v>90</v>
      </c>
      <c r="V229" s="96" t="s">
        <v>63</v>
      </c>
      <c r="W229" s="96" t="s">
        <v>64</v>
      </c>
      <c r="X229" s="96" t="s">
        <v>65</v>
      </c>
    </row>
    <row r="230" spans="11:24" ht="15.75">
      <c r="K230" s="96">
        <v>2005</v>
      </c>
      <c r="L230" s="119">
        <v>614739000</v>
      </c>
      <c r="M230" s="101">
        <v>537668348</v>
      </c>
      <c r="N230" s="102">
        <f>L230/M230</f>
        <v>1.1433423639064577</v>
      </c>
      <c r="O230" s="172">
        <f>SUM(N229:N237)/8</f>
        <v>1.46140593638726</v>
      </c>
      <c r="P230" s="172">
        <f>STDEV(N230,N231,N232,N233,N234,N235,N236,N237)</f>
        <v>0.59977123262433052</v>
      </c>
      <c r="S230" s="96">
        <v>2005</v>
      </c>
      <c r="T230" s="112">
        <v>157197000</v>
      </c>
      <c r="U230" s="119">
        <v>614739000</v>
      </c>
      <c r="V230" s="102">
        <f>(T230/U230)*100</f>
        <v>25.571340032111188</v>
      </c>
      <c r="W230" s="172">
        <f>SUM(V230:V237)/8</f>
        <v>22.325136574376053</v>
      </c>
      <c r="X230" s="172">
        <f>STDEV(V230,V231,V232,V233,V234,V235,V236,V237)</f>
        <v>10.725151028287376</v>
      </c>
    </row>
    <row r="231" spans="11:24" ht="15.75">
      <c r="K231" s="96">
        <v>2006</v>
      </c>
      <c r="L231" s="101">
        <v>621827381</v>
      </c>
      <c r="M231" s="101">
        <v>612307669</v>
      </c>
      <c r="N231" s="102">
        <f t="shared" ref="N231:N235" si="56">L231/M231</f>
        <v>1.0155472689335203</v>
      </c>
      <c r="O231" s="173"/>
      <c r="P231" s="173"/>
      <c r="S231" s="96">
        <v>2006</v>
      </c>
      <c r="T231" s="101">
        <f>SUM(16954763+155663785)</f>
        <v>172618548</v>
      </c>
      <c r="U231" s="101">
        <v>621827381</v>
      </c>
      <c r="V231" s="102">
        <f t="shared" ref="V231:V237" si="57">(T231/U231)*100</f>
        <v>27.759882127159013</v>
      </c>
      <c r="W231" s="173"/>
      <c r="X231" s="173"/>
    </row>
    <row r="232" spans="11:24" ht="15.75">
      <c r="K232" s="96">
        <v>2007</v>
      </c>
      <c r="L232" s="101">
        <v>634189583</v>
      </c>
      <c r="M232" s="101">
        <v>782363433</v>
      </c>
      <c r="N232" s="102">
        <f t="shared" si="56"/>
        <v>0.81060739325223552</v>
      </c>
      <c r="O232" s="173"/>
      <c r="P232" s="173"/>
      <c r="S232" s="96">
        <v>2007</v>
      </c>
      <c r="T232" s="101">
        <f>SUM(21178947+182872778)</f>
        <v>204051725</v>
      </c>
      <c r="U232" s="101">
        <v>634189583</v>
      </c>
      <c r="V232" s="102">
        <f t="shared" si="57"/>
        <v>32.175193423194401</v>
      </c>
      <c r="W232" s="173"/>
      <c r="X232" s="173"/>
    </row>
    <row r="233" spans="11:24" ht="15.75">
      <c r="K233" s="96">
        <v>2008</v>
      </c>
      <c r="L233" s="101">
        <v>746581607</v>
      </c>
      <c r="M233" s="101">
        <v>755615387</v>
      </c>
      <c r="N233" s="102">
        <f t="shared" si="56"/>
        <v>0.98804447321293098</v>
      </c>
      <c r="O233" s="173"/>
      <c r="P233" s="173"/>
      <c r="S233" s="96">
        <v>2008</v>
      </c>
      <c r="T233" s="101">
        <f>SUM(25972087+217564636)</f>
        <v>243536723</v>
      </c>
      <c r="U233" s="101">
        <v>746581607</v>
      </c>
      <c r="V233" s="102">
        <f t="shared" si="57"/>
        <v>32.620241473481684</v>
      </c>
      <c r="W233" s="173"/>
      <c r="X233" s="173"/>
    </row>
    <row r="234" spans="11:24" ht="15.75">
      <c r="K234" s="96">
        <v>2009</v>
      </c>
      <c r="L234" s="101">
        <v>1002720181</v>
      </c>
      <c r="M234" s="101">
        <v>770292444</v>
      </c>
      <c r="N234" s="102">
        <f t="shared" si="56"/>
        <v>1.3017396039782523</v>
      </c>
      <c r="O234" s="173"/>
      <c r="P234" s="173"/>
      <c r="S234" s="96">
        <v>2009</v>
      </c>
      <c r="T234" s="101">
        <f>SUM(34822854+236708464)</f>
        <v>271531318</v>
      </c>
      <c r="U234" s="101">
        <v>1002720181</v>
      </c>
      <c r="V234" s="102">
        <f t="shared" si="57"/>
        <v>27.079470738207874</v>
      </c>
      <c r="W234" s="173"/>
      <c r="X234" s="173"/>
    </row>
    <row r="235" spans="11:24" ht="15.75">
      <c r="K235" s="96">
        <v>2010</v>
      </c>
      <c r="L235" s="101">
        <v>1588150000</v>
      </c>
      <c r="M235" s="101">
        <v>791690700</v>
      </c>
      <c r="N235" s="102">
        <f t="shared" si="56"/>
        <v>2.0060233118817741</v>
      </c>
      <c r="O235" s="173"/>
      <c r="P235" s="173"/>
      <c r="S235" s="96">
        <v>2010</v>
      </c>
      <c r="T235" s="101">
        <f>SUM(49727000+292927000)</f>
        <v>342654000</v>
      </c>
      <c r="U235" s="101">
        <v>1588150000</v>
      </c>
      <c r="V235" s="102">
        <f t="shared" si="57"/>
        <v>21.5756698044895</v>
      </c>
      <c r="W235" s="173"/>
      <c r="X235" s="173"/>
    </row>
    <row r="236" spans="11:24" ht="15.75">
      <c r="K236" s="96">
        <v>2011</v>
      </c>
      <c r="L236" s="101">
        <v>1852040000</v>
      </c>
      <c r="M236" s="101">
        <v>940436276</v>
      </c>
      <c r="N236" s="102">
        <f>L236/M236</f>
        <v>1.9693413017598227</v>
      </c>
      <c r="O236" s="173"/>
      <c r="P236" s="173"/>
      <c r="S236" s="96">
        <v>2011</v>
      </c>
      <c r="T236" s="115">
        <f>SUM(62069764+48872097)</f>
        <v>110941861</v>
      </c>
      <c r="U236" s="101">
        <v>1852040000</v>
      </c>
      <c r="V236" s="102">
        <f t="shared" si="57"/>
        <v>5.9902518844085444</v>
      </c>
      <c r="W236" s="173"/>
      <c r="X236" s="173"/>
    </row>
    <row r="237" spans="11:24" ht="15.75">
      <c r="K237" s="96">
        <v>2012</v>
      </c>
      <c r="L237" s="101">
        <v>2370659718</v>
      </c>
      <c r="M237" s="101">
        <v>965015878</v>
      </c>
      <c r="N237" s="102">
        <f t="shared" ref="N237" si="58">L237/M237</f>
        <v>2.4566017741730879</v>
      </c>
      <c r="O237" s="174"/>
      <c r="P237" s="174"/>
      <c r="S237" s="96">
        <v>2012</v>
      </c>
      <c r="T237" s="101">
        <f>SUM(87289422+50897355)</f>
        <v>138186777</v>
      </c>
      <c r="U237" s="101">
        <v>2370659718</v>
      </c>
      <c r="V237" s="102">
        <f t="shared" si="57"/>
        <v>5.8290431119562305</v>
      </c>
      <c r="W237" s="174"/>
      <c r="X237" s="174"/>
    </row>
    <row r="240" spans="11:24" ht="15.75">
      <c r="K240" s="171" t="s">
        <v>49</v>
      </c>
      <c r="L240" s="171"/>
      <c r="M240" s="171"/>
      <c r="N240" s="171"/>
      <c r="O240" s="171"/>
      <c r="P240" s="171"/>
      <c r="S240" s="171" t="s">
        <v>49</v>
      </c>
      <c r="T240" s="171"/>
      <c r="U240" s="171"/>
      <c r="V240" s="171"/>
      <c r="W240" s="171"/>
      <c r="X240" s="171"/>
    </row>
    <row r="241" spans="11:24" ht="15.75">
      <c r="K241" s="96" t="s">
        <v>67</v>
      </c>
      <c r="L241" s="96" t="s">
        <v>90</v>
      </c>
      <c r="M241" s="96" t="s">
        <v>78</v>
      </c>
      <c r="N241" s="96" t="s">
        <v>63</v>
      </c>
      <c r="O241" s="96" t="s">
        <v>64</v>
      </c>
      <c r="P241" s="96" t="s">
        <v>65</v>
      </c>
      <c r="S241" s="96" t="s">
        <v>67</v>
      </c>
      <c r="T241" s="96" t="s">
        <v>94</v>
      </c>
      <c r="U241" s="96" t="s">
        <v>90</v>
      </c>
      <c r="V241" s="96" t="s">
        <v>104</v>
      </c>
      <c r="W241" s="96" t="s">
        <v>64</v>
      </c>
      <c r="X241" s="96" t="s">
        <v>65</v>
      </c>
    </row>
    <row r="242" spans="11:24" ht="15.75">
      <c r="K242" s="96">
        <v>2005</v>
      </c>
      <c r="L242" s="112">
        <v>118103607</v>
      </c>
      <c r="M242" s="101">
        <v>18019088</v>
      </c>
      <c r="N242" s="102">
        <f>L242/M242</f>
        <v>6.5543609643284944</v>
      </c>
      <c r="O242" s="172">
        <f>SUM(N242:N249)/8</f>
        <v>10.461504624562496</v>
      </c>
      <c r="P242" s="172">
        <f>STDEV(N242,N243,N244,N245,N246,N247,N248,N249)</f>
        <v>3.5755081762273466</v>
      </c>
      <c r="S242" s="96">
        <v>2005</v>
      </c>
      <c r="T242" s="112">
        <v>29056453</v>
      </c>
      <c r="U242" s="112">
        <v>118103607</v>
      </c>
      <c r="V242" s="102">
        <f>(T242/U242)*100</f>
        <v>24.602511081647151</v>
      </c>
      <c r="W242" s="172">
        <f>SUM(V242:V249)/8</f>
        <v>25.676977344189478</v>
      </c>
      <c r="X242" s="172">
        <f>STDEV(V242,V243,V244,V245,V246,V247,V248,V249)</f>
        <v>3.4567960768593564</v>
      </c>
    </row>
    <row r="243" spans="11:24" ht="15.75">
      <c r="K243" s="96">
        <v>2006</v>
      </c>
      <c r="L243" s="112">
        <v>148752321</v>
      </c>
      <c r="M243" s="101">
        <v>16514863</v>
      </c>
      <c r="N243" s="102">
        <f t="shared" ref="N243:N249" si="59">L243/M243</f>
        <v>9.0071786244911625</v>
      </c>
      <c r="O243" s="173"/>
      <c r="P243" s="173"/>
      <c r="S243" s="96">
        <v>2006</v>
      </c>
      <c r="T243" s="112">
        <v>31654880</v>
      </c>
      <c r="U243" s="112">
        <v>148752321</v>
      </c>
      <c r="V243" s="102">
        <f t="shared" ref="V243:V249" si="60">(T243/U243)*100</f>
        <v>21.280259553059345</v>
      </c>
      <c r="W243" s="173"/>
      <c r="X243" s="173"/>
    </row>
    <row r="244" spans="11:24" ht="15.75">
      <c r="K244" s="96">
        <v>2007</v>
      </c>
      <c r="L244" s="112">
        <v>184191344</v>
      </c>
      <c r="M244" s="101">
        <v>15770460.65</v>
      </c>
      <c r="N244" s="102">
        <f t="shared" si="59"/>
        <v>11.679515778760717</v>
      </c>
      <c r="O244" s="173"/>
      <c r="P244" s="173"/>
      <c r="S244" s="96">
        <v>2007</v>
      </c>
      <c r="T244" s="112">
        <v>38301641</v>
      </c>
      <c r="U244" s="112">
        <v>184191344</v>
      </c>
      <c r="V244" s="102">
        <f t="shared" si="60"/>
        <v>20.794484783172003</v>
      </c>
      <c r="W244" s="173"/>
      <c r="X244" s="173"/>
    </row>
    <row r="245" spans="11:24" ht="15.75">
      <c r="K245" s="96">
        <v>2008</v>
      </c>
      <c r="L245" s="112">
        <v>167658550</v>
      </c>
      <c r="M245" s="101">
        <v>13528238</v>
      </c>
      <c r="N245" s="102">
        <f t="shared" si="59"/>
        <v>12.393228889083709</v>
      </c>
      <c r="O245" s="173"/>
      <c r="P245" s="173"/>
      <c r="S245" s="96">
        <v>2008</v>
      </c>
      <c r="T245" s="112">
        <v>43777473</v>
      </c>
      <c r="U245" s="112">
        <v>167658550</v>
      </c>
      <c r="V245" s="102">
        <f t="shared" si="60"/>
        <v>26.111088876767692</v>
      </c>
      <c r="W245" s="173"/>
      <c r="X245" s="173"/>
    </row>
    <row r="246" spans="11:24" ht="15.75">
      <c r="K246" s="96">
        <v>2009</v>
      </c>
      <c r="L246" s="121">
        <v>232832592</v>
      </c>
      <c r="M246" s="101">
        <v>14198760</v>
      </c>
      <c r="N246" s="102">
        <f t="shared" si="59"/>
        <v>16.398093354630969</v>
      </c>
      <c r="O246" s="173"/>
      <c r="P246" s="173"/>
      <c r="S246" s="96">
        <v>2009</v>
      </c>
      <c r="T246" s="121">
        <f>SUM(49432586+12767150)</f>
        <v>62199736</v>
      </c>
      <c r="U246" s="121">
        <v>232832592</v>
      </c>
      <c r="V246" s="102">
        <f t="shared" si="60"/>
        <v>26.714359646006947</v>
      </c>
      <c r="W246" s="173"/>
      <c r="X246" s="173"/>
    </row>
    <row r="247" spans="11:24" ht="15.75">
      <c r="K247" s="96">
        <v>2010</v>
      </c>
      <c r="L247" s="121">
        <v>269438674</v>
      </c>
      <c r="M247" s="101">
        <v>20995023</v>
      </c>
      <c r="N247" s="102">
        <f t="shared" si="59"/>
        <v>12.833454576353644</v>
      </c>
      <c r="O247" s="173"/>
      <c r="P247" s="173"/>
      <c r="S247" s="96">
        <v>2010</v>
      </c>
      <c r="T247" s="121">
        <f>SUM(66055643+17950649)</f>
        <v>84006292</v>
      </c>
      <c r="U247" s="121">
        <v>269438674</v>
      </c>
      <c r="V247" s="102">
        <f t="shared" si="60"/>
        <v>31.178260623417408</v>
      </c>
      <c r="W247" s="173"/>
      <c r="X247" s="173"/>
    </row>
    <row r="248" spans="11:24" ht="15.75">
      <c r="K248" s="96">
        <v>2011</v>
      </c>
      <c r="L248" s="121">
        <v>169860647</v>
      </c>
      <c r="M248" s="101">
        <v>30971114</v>
      </c>
      <c r="N248" s="102">
        <f t="shared" si="59"/>
        <v>5.484486189292384</v>
      </c>
      <c r="O248" s="173"/>
      <c r="P248" s="173"/>
      <c r="S248" s="96">
        <v>2011</v>
      </c>
      <c r="T248" s="122">
        <f>SUM(34674260+13543542)</f>
        <v>48217802</v>
      </c>
      <c r="U248" s="121">
        <v>169860647</v>
      </c>
      <c r="V248" s="102">
        <f t="shared" si="60"/>
        <v>28.386682172475179</v>
      </c>
      <c r="W248" s="173"/>
      <c r="X248" s="173"/>
    </row>
    <row r="249" spans="11:24" ht="15.75">
      <c r="K249" s="96">
        <v>2012</v>
      </c>
      <c r="L249" s="121">
        <v>282940619</v>
      </c>
      <c r="M249" s="101">
        <v>30287855</v>
      </c>
      <c r="N249" s="102">
        <f t="shared" si="59"/>
        <v>9.341718619558895</v>
      </c>
      <c r="O249" s="174"/>
      <c r="P249" s="174"/>
      <c r="S249" s="96">
        <v>2012</v>
      </c>
      <c r="T249" s="121">
        <f>SUM(55627787+18921894)</f>
        <v>74549681</v>
      </c>
      <c r="U249" s="121">
        <v>282940619</v>
      </c>
      <c r="V249" s="102">
        <f t="shared" si="60"/>
        <v>26.348172016970107</v>
      </c>
      <c r="W249" s="174"/>
      <c r="X249" s="174"/>
    </row>
    <row r="252" spans="11:24" ht="15.75">
      <c r="K252" s="171" t="s">
        <v>71</v>
      </c>
      <c r="L252" s="171"/>
      <c r="M252" s="171"/>
      <c r="N252" s="171"/>
      <c r="O252" s="171"/>
      <c r="P252" s="171"/>
      <c r="S252" s="171" t="s">
        <v>71</v>
      </c>
      <c r="T252" s="171"/>
      <c r="U252" s="171"/>
      <c r="V252" s="171"/>
      <c r="W252" s="171"/>
      <c r="X252" s="171"/>
    </row>
    <row r="253" spans="11:24" ht="15.75">
      <c r="K253" s="96" t="s">
        <v>67</v>
      </c>
      <c r="L253" s="96" t="s">
        <v>90</v>
      </c>
      <c r="M253" s="96" t="s">
        <v>78</v>
      </c>
      <c r="N253" s="96" t="s">
        <v>63</v>
      </c>
      <c r="O253" s="96" t="s">
        <v>64</v>
      </c>
      <c r="P253" s="96" t="s">
        <v>65</v>
      </c>
      <c r="S253" s="96" t="s">
        <v>67</v>
      </c>
      <c r="T253" s="96" t="s">
        <v>94</v>
      </c>
      <c r="U253" s="96" t="s">
        <v>90</v>
      </c>
      <c r="V253" s="96" t="s">
        <v>63</v>
      </c>
      <c r="W253" s="96" t="s">
        <v>64</v>
      </c>
      <c r="X253" s="96" t="s">
        <v>65</v>
      </c>
    </row>
    <row r="254" spans="11:24" ht="15.75">
      <c r="K254" s="96">
        <v>2005</v>
      </c>
      <c r="L254" s="112">
        <v>9194297192</v>
      </c>
      <c r="M254" s="101">
        <v>14974419000</v>
      </c>
      <c r="N254" s="102">
        <f>L254/M254</f>
        <v>0.61400026218045589</v>
      </c>
      <c r="O254" s="172">
        <f>SUM(N253:N261)/8</f>
        <v>0.6484415743352745</v>
      </c>
      <c r="P254" s="172">
        <f>STDEV(N254,N255,N256,N257,N258,N259,N260,N261)</f>
        <v>7.7392585380427037E-2</v>
      </c>
      <c r="S254" s="96">
        <v>2005</v>
      </c>
      <c r="T254" s="112">
        <v>408791001</v>
      </c>
      <c r="U254" s="112">
        <v>9194297192</v>
      </c>
      <c r="V254" s="102">
        <f>(T254/U254)*100</f>
        <v>4.4461364742015403</v>
      </c>
      <c r="W254" s="172">
        <f>SUM(V254:V261)/8</f>
        <v>4.8498165867201148</v>
      </c>
      <c r="X254" s="172">
        <f>STDEV(V254,V255,V256,V257,V258,V259,V260,V261)</f>
        <v>0.73531671310390934</v>
      </c>
    </row>
    <row r="255" spans="11:24" ht="15.75">
      <c r="K255" s="96">
        <v>2006</v>
      </c>
      <c r="L255" s="112">
        <v>11058914824</v>
      </c>
      <c r="M255" s="74">
        <v>16824884000</v>
      </c>
      <c r="N255" s="102">
        <f t="shared" ref="N255:N261" si="61">L255/M255</f>
        <v>0.65729516019248635</v>
      </c>
      <c r="O255" s="173"/>
      <c r="P255" s="173"/>
      <c r="S255" s="96">
        <v>2006</v>
      </c>
      <c r="T255" s="112">
        <v>442820441</v>
      </c>
      <c r="U255" s="112">
        <v>11058914824</v>
      </c>
      <c r="V255" s="102">
        <f t="shared" ref="V255:V261" si="62">(T255/U255)*100</f>
        <v>4.0041943359487071</v>
      </c>
      <c r="W255" s="173"/>
      <c r="X255" s="173"/>
    </row>
    <row r="256" spans="11:24" ht="15.75">
      <c r="K256" s="96">
        <v>2007</v>
      </c>
      <c r="L256" s="112">
        <v>14751623805</v>
      </c>
      <c r="M256" s="102">
        <v>20141360790</v>
      </c>
      <c r="N256" s="102">
        <f t="shared" si="61"/>
        <v>0.73240452612933904</v>
      </c>
      <c r="O256" s="173"/>
      <c r="P256" s="173"/>
      <c r="S256" s="96">
        <v>2007</v>
      </c>
      <c r="T256" s="112">
        <v>853176850</v>
      </c>
      <c r="U256" s="112">
        <v>14751623805</v>
      </c>
      <c r="V256" s="102">
        <f t="shared" si="62"/>
        <v>5.7836131213624045</v>
      </c>
      <c r="W256" s="173"/>
      <c r="X256" s="173"/>
    </row>
    <row r="257" spans="11:24" ht="15.75">
      <c r="K257" s="96">
        <v>2008</v>
      </c>
      <c r="L257" s="112">
        <v>16788359646</v>
      </c>
      <c r="M257" s="102">
        <v>26180823698</v>
      </c>
      <c r="N257" s="102">
        <f t="shared" si="61"/>
        <v>0.64124642676091559</v>
      </c>
      <c r="O257" s="173"/>
      <c r="P257" s="173"/>
      <c r="S257" s="96">
        <v>2008</v>
      </c>
      <c r="T257" s="112">
        <v>840580586</v>
      </c>
      <c r="U257" s="112">
        <v>16788359646</v>
      </c>
      <c r="V257" s="102">
        <f t="shared" si="62"/>
        <v>5.0069250583411051</v>
      </c>
      <c r="W257" s="173"/>
      <c r="X257" s="173"/>
    </row>
    <row r="258" spans="11:24" ht="15.75">
      <c r="K258" s="96">
        <v>2009</v>
      </c>
      <c r="L258" s="121">
        <v>20646628886</v>
      </c>
      <c r="M258" s="102">
        <v>31023128807</v>
      </c>
      <c r="N258" s="102">
        <f t="shared" si="61"/>
        <v>0.66552374566879058</v>
      </c>
      <c r="O258" s="173"/>
      <c r="P258" s="173"/>
      <c r="S258" s="96">
        <v>2009</v>
      </c>
      <c r="T258" s="112">
        <v>911480928</v>
      </c>
      <c r="U258" s="121">
        <v>20646628886</v>
      </c>
      <c r="V258" s="102">
        <f t="shared" si="62"/>
        <v>4.4146719206933298</v>
      </c>
      <c r="W258" s="173"/>
      <c r="X258" s="173"/>
    </row>
    <row r="259" spans="11:24" ht="15.75">
      <c r="K259" s="96">
        <v>2010</v>
      </c>
      <c r="L259" s="121">
        <v>25058303890</v>
      </c>
      <c r="M259" s="102">
        <v>33280267652</v>
      </c>
      <c r="N259" s="102">
        <f t="shared" si="61"/>
        <v>0.75294778732027734</v>
      </c>
      <c r="O259" s="173"/>
      <c r="P259" s="173"/>
      <c r="S259" s="96">
        <v>2010</v>
      </c>
      <c r="T259" s="121">
        <v>1004443682</v>
      </c>
      <c r="U259" s="121">
        <v>25058303890</v>
      </c>
      <c r="V259" s="102">
        <f t="shared" si="62"/>
        <v>4.0084264537985854</v>
      </c>
      <c r="W259" s="173"/>
      <c r="X259" s="173"/>
    </row>
    <row r="260" spans="11:24" ht="15.75">
      <c r="K260" s="96">
        <v>2011</v>
      </c>
      <c r="L260" s="121">
        <v>28492515726</v>
      </c>
      <c r="M260" s="102">
        <v>56856091689</v>
      </c>
      <c r="N260" s="102">
        <f t="shared" si="61"/>
        <v>0.50113391335184709</v>
      </c>
      <c r="O260" s="173"/>
      <c r="P260" s="173"/>
      <c r="S260" s="96">
        <v>2011</v>
      </c>
      <c r="T260" s="122">
        <v>1528097284</v>
      </c>
      <c r="U260" s="121">
        <v>28492515726</v>
      </c>
      <c r="V260" s="102">
        <f t="shared" si="62"/>
        <v>5.3631532529280319</v>
      </c>
      <c r="W260" s="173"/>
      <c r="X260" s="173"/>
    </row>
    <row r="261" spans="11:24" ht="15.75">
      <c r="K261" s="96">
        <v>2012</v>
      </c>
      <c r="L261" s="121">
        <v>32807523218</v>
      </c>
      <c r="M261" s="102">
        <v>52662176163</v>
      </c>
      <c r="N261" s="102">
        <f t="shared" si="61"/>
        <v>0.62298077307808419</v>
      </c>
      <c r="O261" s="174"/>
      <c r="P261" s="174"/>
      <c r="S261" s="96">
        <v>2012</v>
      </c>
      <c r="T261" s="121">
        <v>1893457357</v>
      </c>
      <c r="U261" s="121">
        <v>32807523218</v>
      </c>
      <c r="V261" s="102">
        <f t="shared" si="62"/>
        <v>5.7714120764872181</v>
      </c>
      <c r="W261" s="174"/>
      <c r="X261" s="174"/>
    </row>
    <row r="262" spans="11:24">
      <c r="T262" s="123"/>
    </row>
  </sheetData>
  <mergeCells count="176">
    <mergeCell ref="AJ3:AS3"/>
    <mergeCell ref="AJ4:AJ5"/>
    <mergeCell ref="AK4:AS4"/>
    <mergeCell ref="AJ17:AS18"/>
    <mergeCell ref="S228:X228"/>
    <mergeCell ref="W230:W237"/>
    <mergeCell ref="X230:X237"/>
    <mergeCell ref="S240:X240"/>
    <mergeCell ref="W242:W249"/>
    <mergeCell ref="X242:X249"/>
    <mergeCell ref="AB72:AH72"/>
    <mergeCell ref="AG74:AG81"/>
    <mergeCell ref="AH74:AH81"/>
    <mergeCell ref="S94:X94"/>
    <mergeCell ref="W96:W103"/>
    <mergeCell ref="X96:X103"/>
    <mergeCell ref="S106:X106"/>
    <mergeCell ref="W108:W115"/>
    <mergeCell ref="X108:X115"/>
    <mergeCell ref="S92:X92"/>
    <mergeCell ref="S72:X72"/>
    <mergeCell ref="W74:W81"/>
    <mergeCell ref="X74:X81"/>
    <mergeCell ref="S161:X161"/>
    <mergeCell ref="S252:X252"/>
    <mergeCell ref="W254:W261"/>
    <mergeCell ref="X254:X261"/>
    <mergeCell ref="S183:X183"/>
    <mergeCell ref="S185:X185"/>
    <mergeCell ref="W187:W194"/>
    <mergeCell ref="X187:X194"/>
    <mergeCell ref="S197:X197"/>
    <mergeCell ref="W199:W206"/>
    <mergeCell ref="X199:X206"/>
    <mergeCell ref="S209:X209"/>
    <mergeCell ref="W211:W218"/>
    <mergeCell ref="X211:X218"/>
    <mergeCell ref="K5:P5"/>
    <mergeCell ref="AB29:AH29"/>
    <mergeCell ref="AG31:AG38"/>
    <mergeCell ref="AH31:AH38"/>
    <mergeCell ref="AB48:AH48"/>
    <mergeCell ref="AG50:AG57"/>
    <mergeCell ref="AH50:AH57"/>
    <mergeCell ref="AB60:AH60"/>
    <mergeCell ref="AG62:AG69"/>
    <mergeCell ref="AH62:AH69"/>
    <mergeCell ref="S5:X5"/>
    <mergeCell ref="W7:W14"/>
    <mergeCell ref="X7:X14"/>
    <mergeCell ref="S47:X47"/>
    <mergeCell ref="S60:X60"/>
    <mergeCell ref="W62:W69"/>
    <mergeCell ref="X62:X69"/>
    <mergeCell ref="S48:X48"/>
    <mergeCell ref="W50:W57"/>
    <mergeCell ref="X50:X57"/>
    <mergeCell ref="O7:O14"/>
    <mergeCell ref="AG7:AG14"/>
    <mergeCell ref="O163:O170"/>
    <mergeCell ref="P163:P170"/>
    <mergeCell ref="K118:P118"/>
    <mergeCell ref="O120:O127"/>
    <mergeCell ref="P120:P127"/>
    <mergeCell ref="K137:P137"/>
    <mergeCell ref="O139:O146"/>
    <mergeCell ref="P139:P146"/>
    <mergeCell ref="G96:G103"/>
    <mergeCell ref="B106:G106"/>
    <mergeCell ref="K106:P106"/>
    <mergeCell ref="O108:O115"/>
    <mergeCell ref="P108:P115"/>
    <mergeCell ref="F151:F158"/>
    <mergeCell ref="G151:G158"/>
    <mergeCell ref="B161:G161"/>
    <mergeCell ref="F163:F170"/>
    <mergeCell ref="G163:G170"/>
    <mergeCell ref="K149:P149"/>
    <mergeCell ref="O151:O158"/>
    <mergeCell ref="P151:P158"/>
    <mergeCell ref="K161:P161"/>
    <mergeCell ref="B149:G149"/>
    <mergeCell ref="B118:G118"/>
    <mergeCell ref="B5:G5"/>
    <mergeCell ref="G7:G14"/>
    <mergeCell ref="F7:F14"/>
    <mergeCell ref="B3:G3"/>
    <mergeCell ref="B58:G58"/>
    <mergeCell ref="B47:G47"/>
    <mergeCell ref="F49:F56"/>
    <mergeCell ref="G49:G56"/>
    <mergeCell ref="B16:G16"/>
    <mergeCell ref="F18:F25"/>
    <mergeCell ref="G18:G25"/>
    <mergeCell ref="B27:G27"/>
    <mergeCell ref="F29:F36"/>
    <mergeCell ref="G29:G36"/>
    <mergeCell ref="B92:G92"/>
    <mergeCell ref="B94:G94"/>
    <mergeCell ref="F96:F103"/>
    <mergeCell ref="S17:X17"/>
    <mergeCell ref="W19:W26"/>
    <mergeCell ref="X19:X26"/>
    <mergeCell ref="S29:X29"/>
    <mergeCell ref="W31:W38"/>
    <mergeCell ref="X31:X38"/>
    <mergeCell ref="K29:P29"/>
    <mergeCell ref="O31:O38"/>
    <mergeCell ref="P31:P38"/>
    <mergeCell ref="F60:F67"/>
    <mergeCell ref="G60:G67"/>
    <mergeCell ref="B69:G69"/>
    <mergeCell ref="F71:F78"/>
    <mergeCell ref="G71:G78"/>
    <mergeCell ref="K72:P72"/>
    <mergeCell ref="O74:O81"/>
    <mergeCell ref="P74:P81"/>
    <mergeCell ref="O50:O57"/>
    <mergeCell ref="P50:P57"/>
    <mergeCell ref="K60:P60"/>
    <mergeCell ref="O62:O69"/>
    <mergeCell ref="F120:F127"/>
    <mergeCell ref="G120:G127"/>
    <mergeCell ref="B137:G137"/>
    <mergeCell ref="F139:F146"/>
    <mergeCell ref="G139:G146"/>
    <mergeCell ref="F108:F115"/>
    <mergeCell ref="G108:G115"/>
    <mergeCell ref="AB3:AH3"/>
    <mergeCell ref="AB5:AH5"/>
    <mergeCell ref="AH7:AH14"/>
    <mergeCell ref="AB17:AH17"/>
    <mergeCell ref="AG19:AG26"/>
    <mergeCell ref="AH19:AH26"/>
    <mergeCell ref="K92:P92"/>
    <mergeCell ref="K94:P94"/>
    <mergeCell ref="O96:O103"/>
    <mergeCell ref="P96:P103"/>
    <mergeCell ref="K3:P3"/>
    <mergeCell ref="P7:P14"/>
    <mergeCell ref="P62:P69"/>
    <mergeCell ref="K48:P48"/>
    <mergeCell ref="K17:P17"/>
    <mergeCell ref="O19:O26"/>
    <mergeCell ref="P19:P26"/>
    <mergeCell ref="W163:W170"/>
    <mergeCell ref="X163:X170"/>
    <mergeCell ref="S3:X3"/>
    <mergeCell ref="S118:X118"/>
    <mergeCell ref="W120:W127"/>
    <mergeCell ref="X120:X127"/>
    <mergeCell ref="S137:X137"/>
    <mergeCell ref="W139:W146"/>
    <mergeCell ref="X139:X146"/>
    <mergeCell ref="S149:X149"/>
    <mergeCell ref="W151:W158"/>
    <mergeCell ref="X151:X158"/>
    <mergeCell ref="K183:P183"/>
    <mergeCell ref="K185:P185"/>
    <mergeCell ref="O187:O194"/>
    <mergeCell ref="P187:P194"/>
    <mergeCell ref="K197:P197"/>
    <mergeCell ref="O199:O206"/>
    <mergeCell ref="P199:P206"/>
    <mergeCell ref="K209:P209"/>
    <mergeCell ref="O211:O218"/>
    <mergeCell ref="P211:P218"/>
    <mergeCell ref="K228:P228"/>
    <mergeCell ref="O230:O237"/>
    <mergeCell ref="P230:P237"/>
    <mergeCell ref="K240:P240"/>
    <mergeCell ref="O242:O249"/>
    <mergeCell ref="P242:P249"/>
    <mergeCell ref="K252:P252"/>
    <mergeCell ref="O254:O261"/>
    <mergeCell ref="P254:P26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N24"/>
  <sheetViews>
    <sheetView topLeftCell="D1" workbookViewId="0">
      <selection activeCell="E12" sqref="E12:L12"/>
    </sheetView>
  </sheetViews>
  <sheetFormatPr defaultRowHeight="15"/>
  <cols>
    <col min="5" max="5" width="6.28515625" customWidth="1"/>
    <col min="6" max="6" width="5.7109375" customWidth="1"/>
    <col min="7" max="7" width="6.5703125" customWidth="1"/>
    <col min="8" max="8" width="6" customWidth="1"/>
    <col min="9" max="9" width="5.7109375" customWidth="1"/>
    <col min="10" max="11" width="6" customWidth="1"/>
    <col min="12" max="12" width="5.7109375" customWidth="1"/>
    <col min="13" max="13" width="7.28515625" customWidth="1"/>
    <col min="14" max="14" width="6.85546875" customWidth="1"/>
  </cols>
  <sheetData>
    <row r="3" spans="3:14" ht="15.75" thickBot="1"/>
    <row r="4" spans="3:14" ht="15.75" thickBot="1">
      <c r="D4" s="124" t="s">
        <v>96</v>
      </c>
      <c r="E4" s="125">
        <v>2005</v>
      </c>
      <c r="F4" s="125">
        <v>2006</v>
      </c>
      <c r="G4" s="125">
        <v>2007</v>
      </c>
      <c r="H4" s="125">
        <v>2008</v>
      </c>
      <c r="I4" s="125">
        <v>2009</v>
      </c>
      <c r="J4" s="125">
        <v>2010</v>
      </c>
      <c r="K4" s="125">
        <v>2011</v>
      </c>
      <c r="L4" s="128">
        <v>2012</v>
      </c>
      <c r="M4" s="130" t="s">
        <v>105</v>
      </c>
      <c r="N4" s="131" t="s">
        <v>106</v>
      </c>
    </row>
    <row r="5" spans="3:14" ht="15.75" thickBot="1">
      <c r="D5" s="126" t="s">
        <v>97</v>
      </c>
      <c r="E5" s="124">
        <v>44.88</v>
      </c>
      <c r="F5" s="125">
        <v>47.56</v>
      </c>
      <c r="G5" s="125">
        <v>49.29</v>
      </c>
      <c r="H5" s="125">
        <v>48.62</v>
      </c>
      <c r="I5" s="125">
        <v>52.77</v>
      </c>
      <c r="J5" s="125">
        <v>48.91</v>
      </c>
      <c r="K5" s="125">
        <v>47.95</v>
      </c>
      <c r="L5" s="125">
        <v>53.22</v>
      </c>
      <c r="M5" s="133">
        <f>SUM(E5:L5)/8</f>
        <v>49.149999999999991</v>
      </c>
      <c r="N5" s="134">
        <f>STDEV(E5,F5,G5,H5,I5,J5,K5,L5)</f>
        <v>2.731519723524074</v>
      </c>
    </row>
    <row r="6" spans="3:14" ht="15.75" thickBot="1">
      <c r="D6" s="126" t="s">
        <v>98</v>
      </c>
      <c r="E6" s="126">
        <v>19.170000000000002</v>
      </c>
      <c r="F6" s="127">
        <v>18.829999999999998</v>
      </c>
      <c r="G6" s="127">
        <v>19.989999999999998</v>
      </c>
      <c r="H6" s="127">
        <v>20.239999999999998</v>
      </c>
      <c r="I6" s="127">
        <v>13.67</v>
      </c>
      <c r="J6" s="127">
        <v>14.35</v>
      </c>
      <c r="K6" s="127">
        <v>15.85</v>
      </c>
      <c r="L6" s="127">
        <v>8.2799999999999994</v>
      </c>
      <c r="M6" s="133">
        <f t="shared" ref="M6:M12" si="0">SUM(E6:L6)/8</f>
        <v>16.297499999999996</v>
      </c>
      <c r="N6" s="134">
        <f t="shared" ref="N6:N12" si="1">STDEV(E6,F6,G6,H6,I6,J6,K6,L6)</f>
        <v>4.1234477598935921</v>
      </c>
    </row>
    <row r="7" spans="3:14" ht="15.75" thickBot="1">
      <c r="D7" s="126" t="s">
        <v>99</v>
      </c>
      <c r="E7" s="126">
        <v>46.56</v>
      </c>
      <c r="F7" s="127">
        <v>39.81</v>
      </c>
      <c r="G7" s="127">
        <v>47</v>
      </c>
      <c r="H7" s="127">
        <v>54.66</v>
      </c>
      <c r="I7" s="127">
        <v>58.57</v>
      </c>
      <c r="J7" s="127">
        <v>61.81</v>
      </c>
      <c r="K7" s="127">
        <v>76.77</v>
      </c>
      <c r="L7" s="127">
        <v>74.47</v>
      </c>
      <c r="M7" s="133">
        <f t="shared" si="0"/>
        <v>57.456249999999997</v>
      </c>
      <c r="N7" s="134">
        <f t="shared" si="1"/>
        <v>13.255482895229228</v>
      </c>
    </row>
    <row r="8" spans="3:14" ht="15.75" thickBot="1">
      <c r="D8" s="126" t="s">
        <v>100</v>
      </c>
      <c r="E8" s="126">
        <v>16.59</v>
      </c>
      <c r="F8" s="127">
        <v>26.87</v>
      </c>
      <c r="G8" s="127">
        <v>40.92</v>
      </c>
      <c r="H8" s="127">
        <v>46.41</v>
      </c>
      <c r="I8" s="127">
        <v>48.88</v>
      </c>
      <c r="J8" s="127">
        <v>40.26</v>
      </c>
      <c r="K8" s="127">
        <v>38.68</v>
      </c>
      <c r="L8" s="127">
        <v>31.43</v>
      </c>
      <c r="M8" s="133">
        <f t="shared" si="0"/>
        <v>36.254999999999995</v>
      </c>
      <c r="N8" s="134">
        <f t="shared" si="1"/>
        <v>10.718932516147047</v>
      </c>
    </row>
    <row r="9" spans="3:14" ht="15.75" thickBot="1">
      <c r="D9" s="126" t="s">
        <v>101</v>
      </c>
      <c r="E9" s="126">
        <v>57.97</v>
      </c>
      <c r="F9" s="127">
        <v>65.11</v>
      </c>
      <c r="G9" s="127">
        <v>63.37</v>
      </c>
      <c r="H9" s="127">
        <v>63.08</v>
      </c>
      <c r="I9" s="127">
        <v>65.959999999999994</v>
      </c>
      <c r="J9" s="127">
        <v>69.540000000000006</v>
      </c>
      <c r="K9" s="127">
        <v>59.29</v>
      </c>
      <c r="L9" s="127">
        <v>65.150000000000006</v>
      </c>
      <c r="M9" s="133">
        <f t="shared" si="0"/>
        <v>63.683750000000003</v>
      </c>
      <c r="N9" s="134">
        <f t="shared" si="1"/>
        <v>3.7047457499035774</v>
      </c>
    </row>
    <row r="10" spans="3:14" ht="15.75" thickBot="1">
      <c r="D10" s="126" t="s">
        <v>102</v>
      </c>
      <c r="E10" s="126">
        <v>10.91</v>
      </c>
      <c r="F10" s="127">
        <v>11.37</v>
      </c>
      <c r="G10" s="127">
        <v>15.81</v>
      </c>
      <c r="H10" s="127">
        <v>19.87</v>
      </c>
      <c r="I10" s="127">
        <v>19.37</v>
      </c>
      <c r="J10" s="127">
        <v>18.68</v>
      </c>
      <c r="K10" s="127">
        <v>36.56</v>
      </c>
      <c r="L10" s="127">
        <v>34.32</v>
      </c>
      <c r="M10" s="133">
        <f t="shared" si="0"/>
        <v>20.861250000000002</v>
      </c>
      <c r="N10" s="134">
        <f t="shared" si="1"/>
        <v>9.6375699923343134</v>
      </c>
    </row>
    <row r="11" spans="3:14" ht="15.75" thickBot="1">
      <c r="D11" s="126" t="s">
        <v>64</v>
      </c>
      <c r="E11" s="127">
        <f>SUM(E5:E10)/6</f>
        <v>32.68</v>
      </c>
      <c r="F11" s="127">
        <f>SUM(F5:F10)/6</f>
        <v>34.925000000000004</v>
      </c>
      <c r="G11" s="127">
        <f t="shared" ref="G11:L11" si="2">SUM(G5:G10)/6</f>
        <v>39.396666666666668</v>
      </c>
      <c r="H11" s="127">
        <f t="shared" si="2"/>
        <v>42.146666666666668</v>
      </c>
      <c r="I11" s="127">
        <f>SUM(I5:I10)/6</f>
        <v>43.203333333333326</v>
      </c>
      <c r="J11" s="127">
        <f t="shared" si="2"/>
        <v>42.258333333333333</v>
      </c>
      <c r="K11" s="127">
        <f t="shared" si="2"/>
        <v>45.85</v>
      </c>
      <c r="L11" s="129">
        <f t="shared" si="2"/>
        <v>44.478333333333332</v>
      </c>
      <c r="M11" s="133">
        <f t="shared" si="0"/>
        <v>40.617291666666667</v>
      </c>
      <c r="N11" s="134">
        <f t="shared" si="1"/>
        <v>4.6429855728574108</v>
      </c>
    </row>
    <row r="12" spans="3:14" ht="15.75" thickBot="1">
      <c r="D12" s="126" t="s">
        <v>103</v>
      </c>
      <c r="E12" s="127">
        <f>STDEV(E5,E6,E7,E8,E9,E10)</f>
        <v>19.475212964175768</v>
      </c>
      <c r="F12" s="127">
        <f t="shared" ref="F12:L12" si="3">STDEV(F5,F6,F7,F8,F9,F10)</f>
        <v>19.866608920497729</v>
      </c>
      <c r="G12" s="127">
        <f t="shared" si="3"/>
        <v>18.25201103075128</v>
      </c>
      <c r="H12" s="127">
        <f t="shared" si="3"/>
        <v>18.061118090158942</v>
      </c>
      <c r="I12" s="127">
        <f t="shared" si="3"/>
        <v>21.531333137236697</v>
      </c>
      <c r="J12" s="127">
        <f t="shared" si="3"/>
        <v>22.403606331719597</v>
      </c>
      <c r="K12" s="127">
        <f t="shared" si="3"/>
        <v>20.874879640371574</v>
      </c>
      <c r="L12" s="127">
        <f t="shared" si="3"/>
        <v>24.441786691374805</v>
      </c>
      <c r="M12" s="133">
        <f t="shared" si="0"/>
        <v>20.613319600785797</v>
      </c>
      <c r="N12" s="134">
        <f t="shared" si="1"/>
        <v>2.1618716633051718</v>
      </c>
    </row>
    <row r="13" spans="3:14" ht="15.75" thickBot="1"/>
    <row r="14" spans="3:14" ht="15.75" thickBot="1">
      <c r="C14" s="73"/>
      <c r="D14" s="73"/>
      <c r="E14" s="73"/>
      <c r="F14" s="73"/>
      <c r="G14" s="73"/>
      <c r="H14" s="73"/>
      <c r="I14" s="73"/>
      <c r="J14" s="73"/>
      <c r="K14" s="132"/>
      <c r="L14" s="73"/>
      <c r="M14" s="73"/>
    </row>
    <row r="15" spans="3:14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</row>
    <row r="16" spans="3:14"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</row>
    <row r="17" spans="3:13"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</row>
    <row r="18" spans="3:13"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</row>
    <row r="19" spans="3:13"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</row>
    <row r="20" spans="3:13"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</row>
    <row r="21" spans="3:13"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</row>
    <row r="22" spans="3:13"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</row>
    <row r="23" spans="3:13"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</row>
    <row r="24" spans="3:13"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Balancesheet</vt:lpstr>
      <vt:lpstr>Calculation part</vt:lpstr>
      <vt:lpstr>Sheet3</vt:lpstr>
      <vt:lpstr>CORRELATION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ittucl</cp:lastModifiedBy>
  <cp:lastPrinted>2014-02-20T12:58:50Z</cp:lastPrinted>
  <dcterms:created xsi:type="dcterms:W3CDTF">2013-09-06T06:01:19Z</dcterms:created>
  <dcterms:modified xsi:type="dcterms:W3CDTF">2023-06-05T05:03:43Z</dcterms:modified>
</cp:coreProperties>
</file>